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kistanova\Desktop\Zverejnovanie FD_Mesto Žilina\Zverejnenie faktúr r.2022\"/>
    </mc:Choice>
  </mc:AlternateContent>
  <bookViews>
    <workbookView xWindow="-120" yWindow="-120" windowWidth="29040" windowHeight="15840" tabRatio="744" activeTab="1"/>
  </bookViews>
  <sheets>
    <sheet name="Zverej.FD final 2021" sheetId="23" r:id="rId1"/>
    <sheet name="Zverej.FD r.2022" sheetId="22" r:id="rId2"/>
    <sheet name="Hárok7" sheetId="20" r:id="rId3"/>
    <sheet name="Hárok8" sheetId="21" r:id="rId4"/>
    <sheet name="Hárok2" sheetId="2" r:id="rId5"/>
    <sheet name="Hárok3" sheetId="3" r:id="rId6"/>
    <sheet name="Hárok4" sheetId="15" r:id="rId7"/>
    <sheet name="Hárok5" sheetId="16" r:id="rId8"/>
  </sheets>
  <calcPr calcId="162913"/>
</workbook>
</file>

<file path=xl/calcChain.xml><?xml version="1.0" encoding="utf-8"?>
<calcChain xmlns="http://schemas.openxmlformats.org/spreadsheetml/2006/main">
  <c r="D837" i="22" l="1"/>
  <c r="D57" i="22" l="1"/>
  <c r="D834" i="22"/>
  <c r="D832" i="22"/>
  <c r="E14" i="22" l="1"/>
  <c r="E1084" i="23"/>
  <c r="D1084" i="23"/>
  <c r="E1075" i="23"/>
  <c r="E1053" i="23"/>
  <c r="D1053" i="23" s="1"/>
  <c r="D1052" i="23"/>
  <c r="D1043" i="23"/>
  <c r="D1040" i="23"/>
  <c r="E1033" i="23"/>
  <c r="D1032" i="23"/>
  <c r="E1032" i="23" s="1"/>
  <c r="D1031" i="23"/>
  <c r="E1031" i="23" s="1"/>
  <c r="D1030" i="23"/>
  <c r="E1029" i="23"/>
  <c r="E1028" i="23"/>
  <c r="D1027" i="23"/>
  <c r="D1026" i="23"/>
  <c r="D1025" i="23"/>
  <c r="D1024" i="23"/>
  <c r="D1022" i="23"/>
  <c r="D1018" i="23"/>
  <c r="D1017" i="23"/>
  <c r="D1016" i="23"/>
  <c r="D1015" i="23"/>
  <c r="D1014" i="23"/>
  <c r="D1013" i="23"/>
  <c r="D1012" i="23"/>
  <c r="D1011" i="23"/>
  <c r="D1010" i="23"/>
  <c r="D1009" i="23"/>
  <c r="D1008" i="23"/>
  <c r="D1007" i="23"/>
  <c r="D1006" i="23"/>
  <c r="D1005" i="23"/>
  <c r="D1004" i="23"/>
  <c r="D1003" i="23"/>
  <c r="D1002" i="23"/>
  <c r="D1001" i="23"/>
  <c r="D1000" i="23"/>
  <c r="D999" i="23"/>
  <c r="D998" i="23"/>
  <c r="D997" i="23"/>
  <c r="D996" i="23"/>
  <c r="D995" i="23"/>
  <c r="D994" i="23"/>
  <c r="D993" i="23"/>
  <c r="D992" i="23"/>
  <c r="D991" i="23"/>
  <c r="D990" i="23"/>
  <c r="D989" i="23"/>
  <c r="D988" i="23"/>
  <c r="D987" i="23"/>
  <c r="D986" i="23"/>
  <c r="D985" i="23"/>
  <c r="D984" i="23"/>
  <c r="D983" i="23"/>
  <c r="D982" i="23"/>
  <c r="D981" i="23"/>
  <c r="D980" i="23"/>
  <c r="D979" i="23"/>
  <c r="D978" i="23"/>
  <c r="D977" i="23"/>
  <c r="D976" i="23"/>
  <c r="D975" i="23"/>
  <c r="D974" i="23"/>
  <c r="D973" i="23"/>
  <c r="D972" i="23"/>
  <c r="D971" i="23"/>
  <c r="D970" i="23"/>
  <c r="D969" i="23"/>
  <c r="D968" i="23"/>
  <c r="D967" i="23"/>
  <c r="D966" i="23"/>
  <c r="D965" i="23"/>
  <c r="D964" i="23"/>
  <c r="D963" i="23"/>
  <c r="D962" i="23"/>
  <c r="D961" i="23"/>
  <c r="D960" i="23"/>
  <c r="D939" i="23"/>
  <c r="D938" i="23"/>
  <c r="D936" i="23"/>
  <c r="D934" i="23"/>
  <c r="D933" i="23"/>
  <c r="D932" i="23"/>
  <c r="D931" i="23"/>
  <c r="D930" i="23"/>
  <c r="D929" i="23"/>
  <c r="D928" i="23"/>
  <c r="D927" i="23"/>
  <c r="D926" i="23"/>
  <c r="D925" i="23"/>
  <c r="D924" i="23"/>
  <c r="D923" i="23"/>
  <c r="D922" i="23"/>
  <c r="D921" i="23"/>
  <c r="D920" i="23"/>
  <c r="D919" i="23"/>
  <c r="D918" i="23"/>
  <c r="D917" i="23"/>
  <c r="D916" i="23"/>
  <c r="D915" i="23"/>
  <c r="D914" i="23"/>
  <c r="D913" i="23"/>
  <c r="D912" i="23"/>
  <c r="E888" i="23"/>
  <c r="E880" i="23"/>
  <c r="D880" i="23"/>
  <c r="E879" i="23"/>
  <c r="D879" i="23"/>
  <c r="D863" i="23"/>
  <c r="E856" i="23"/>
  <c r="D856" i="23"/>
  <c r="E848" i="23"/>
  <c r="D848" i="23"/>
  <c r="E754" i="23"/>
  <c r="D754" i="23"/>
  <c r="D752" i="23"/>
  <c r="E751" i="23"/>
  <c r="E750" i="23"/>
  <c r="D750" i="23"/>
  <c r="E749" i="23"/>
  <c r="D749" i="23"/>
  <c r="D748" i="23"/>
  <c r="E740" i="23"/>
  <c r="D740" i="23"/>
  <c r="E706" i="23"/>
  <c r="D706" i="23"/>
  <c r="D626" i="23"/>
  <c r="D580" i="23"/>
  <c r="D573" i="23"/>
  <c r="E498" i="23"/>
  <c r="E494" i="23"/>
  <c r="E493" i="23"/>
  <c r="E488" i="23"/>
  <c r="E487" i="23"/>
  <c r="D486" i="23"/>
  <c r="E486" i="23" s="1"/>
  <c r="E485" i="23"/>
  <c r="E469" i="23"/>
  <c r="D469" i="23" s="1"/>
  <c r="D457" i="23"/>
  <c r="D449" i="23"/>
  <c r="E441" i="23"/>
  <c r="D440" i="23"/>
  <c r="D439" i="23"/>
  <c r="D438" i="23"/>
  <c r="D437" i="23"/>
  <c r="D436" i="23"/>
  <c r="D435" i="23"/>
  <c r="D434" i="23"/>
  <c r="D433" i="23"/>
  <c r="D432" i="23"/>
  <c r="D431" i="23"/>
  <c r="D430" i="23"/>
  <c r="D429" i="23"/>
  <c r="D428" i="23"/>
  <c r="D427" i="23"/>
  <c r="D426" i="23"/>
  <c r="D425" i="23"/>
  <c r="D424" i="23"/>
  <c r="D423" i="23"/>
  <c r="D422" i="23"/>
  <c r="D421" i="23"/>
  <c r="D420" i="23"/>
  <c r="D419" i="23"/>
  <c r="D418" i="23"/>
  <c r="D398" i="23"/>
  <c r="D385" i="23"/>
  <c r="D384" i="23"/>
  <c r="D383" i="23"/>
  <c r="D382" i="23"/>
  <c r="D381" i="23"/>
  <c r="D380" i="23"/>
  <c r="D379" i="23"/>
  <c r="D378" i="23"/>
  <c r="D377" i="23"/>
  <c r="D376" i="23"/>
  <c r="D375" i="23"/>
  <c r="D372" i="23"/>
  <c r="D371" i="23"/>
  <c r="D370" i="23"/>
  <c r="D369" i="23"/>
  <c r="D368" i="23"/>
  <c r="D367" i="23"/>
  <c r="D366" i="23"/>
  <c r="D365" i="23"/>
  <c r="D364" i="23"/>
  <c r="D363" i="23"/>
  <c r="D362" i="23"/>
  <c r="D361" i="23"/>
  <c r="D360" i="23"/>
  <c r="D359" i="23"/>
  <c r="D358" i="23"/>
  <c r="D357" i="23"/>
  <c r="D356" i="23"/>
  <c r="D355" i="23"/>
  <c r="D354" i="23"/>
  <c r="D353" i="23"/>
  <c r="D352" i="23"/>
  <c r="D351" i="23"/>
  <c r="D350" i="23"/>
  <c r="D349" i="23"/>
  <c r="D348" i="23"/>
  <c r="D347" i="23"/>
  <c r="D346" i="23"/>
  <c r="D345" i="23"/>
  <c r="D344" i="23"/>
  <c r="D343" i="23"/>
  <c r="D342" i="23"/>
  <c r="D341" i="23"/>
  <c r="D340" i="23"/>
  <c r="D339" i="23"/>
  <c r="D338" i="23"/>
  <c r="D337" i="23"/>
  <c r="D336" i="23"/>
  <c r="D335" i="23"/>
  <c r="D334" i="23"/>
  <c r="D333" i="23"/>
  <c r="D332" i="23"/>
  <c r="D331" i="23"/>
  <c r="D330" i="23"/>
  <c r="D329" i="23"/>
  <c r="D328" i="23"/>
  <c r="D327" i="23"/>
  <c r="D326" i="23"/>
  <c r="D325" i="23"/>
  <c r="D324" i="23"/>
  <c r="D323" i="23"/>
  <c r="D322" i="23"/>
  <c r="D321" i="23"/>
  <c r="D320" i="23"/>
  <c r="D319" i="23"/>
  <c r="D318" i="23"/>
  <c r="D317" i="23"/>
  <c r="D316" i="23"/>
  <c r="D315" i="23"/>
  <c r="D314" i="23"/>
  <c r="D313" i="23"/>
  <c r="D312" i="23"/>
  <c r="D311" i="23"/>
  <c r="D310" i="23"/>
  <c r="D309" i="23"/>
  <c r="D308" i="23"/>
  <c r="D307" i="23"/>
  <c r="D306" i="23"/>
  <c r="D305" i="23"/>
  <c r="D304" i="23"/>
  <c r="D303" i="23"/>
  <c r="D302" i="23"/>
  <c r="D301" i="23"/>
  <c r="D300" i="23"/>
  <c r="D299" i="23"/>
  <c r="D298" i="23"/>
  <c r="D297" i="23"/>
  <c r="D296" i="23"/>
  <c r="D295" i="23"/>
  <c r="D294" i="23"/>
  <c r="D293" i="23"/>
  <c r="D292" i="23"/>
  <c r="D291" i="23"/>
  <c r="D290" i="23"/>
  <c r="D289" i="23"/>
  <c r="D288" i="23"/>
  <c r="D287" i="23"/>
  <c r="D286" i="23"/>
  <c r="D285" i="23"/>
  <c r="D284" i="23"/>
  <c r="D283" i="23"/>
  <c r="D282" i="23"/>
  <c r="D281" i="23"/>
  <c r="D280" i="23"/>
  <c r="D279" i="23"/>
  <c r="D278" i="23"/>
  <c r="D277" i="23"/>
  <c r="D276" i="23"/>
  <c r="D275" i="23"/>
  <c r="D274" i="23"/>
  <c r="D273" i="23"/>
  <c r="D271" i="23"/>
  <c r="D272" i="23" s="1"/>
  <c r="D270" i="23"/>
  <c r="D269" i="23"/>
  <c r="D268" i="23"/>
  <c r="D267" i="23"/>
  <c r="D266" i="23"/>
  <c r="D265" i="23"/>
  <c r="D264" i="23"/>
  <c r="D263" i="23"/>
  <c r="D262" i="23"/>
  <c r="D261" i="23"/>
  <c r="D260" i="23"/>
  <c r="D259" i="23"/>
  <c r="D258" i="23"/>
  <c r="D257" i="23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6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2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E60" i="23"/>
  <c r="D60" i="23"/>
  <c r="D59" i="23"/>
  <c r="D58" i="23"/>
  <c r="D57" i="23"/>
  <c r="D56" i="23"/>
  <c r="D55" i="23"/>
  <c r="E54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E9" i="23"/>
  <c r="D9" i="23"/>
  <c r="D8" i="23"/>
  <c r="D7" i="23"/>
  <c r="D6" i="23"/>
  <c r="D5" i="23"/>
  <c r="D4" i="23"/>
  <c r="D3" i="23"/>
  <c r="D2" i="23"/>
  <c r="D4" i="3" l="1"/>
  <c r="B4" i="3" l="1"/>
  <c r="C4" i="3" s="1"/>
  <c r="E4" i="3" s="1"/>
</calcChain>
</file>

<file path=xl/connections.xml><?xml version="1.0" encoding="utf-8"?>
<connections xmlns="http://schemas.openxmlformats.org/spreadsheetml/2006/main">
  <connection id="1" name="Kniha_faktur 2021" type="4" refreshedVersion="0" background="1">
    <webPr xml="1" sourceData="1" url="C:\Users\tavacova\Documents\Kniha_faktur 2021.xls" htmlTables="1" htmlFormat="all"/>
  </connection>
</connections>
</file>

<file path=xl/sharedStrings.xml><?xml version="1.0" encoding="utf-8"?>
<sst xmlns="http://schemas.openxmlformats.org/spreadsheetml/2006/main" count="12262" uniqueCount="5933">
  <si>
    <t>DF2100029</t>
  </si>
  <si>
    <t>DF2100002</t>
  </si>
  <si>
    <t>DF2100001</t>
  </si>
  <si>
    <t>DF2100003</t>
  </si>
  <si>
    <t>DF2100004</t>
  </si>
  <si>
    <t>DF2100005</t>
  </si>
  <si>
    <t>DF2100006</t>
  </si>
  <si>
    <t>DF2100007</t>
  </si>
  <si>
    <t>DF2100008</t>
  </si>
  <si>
    <t>DF2100009</t>
  </si>
  <si>
    <t>DF2100010</t>
  </si>
  <si>
    <t>DF2100019</t>
  </si>
  <si>
    <t>DF2100011</t>
  </si>
  <si>
    <t>DF2100012</t>
  </si>
  <si>
    <t>DF2100013</t>
  </si>
  <si>
    <t>DF2100014</t>
  </si>
  <si>
    <t>DF2100015</t>
  </si>
  <si>
    <t>DF2100016</t>
  </si>
  <si>
    <t>DF2100017</t>
  </si>
  <si>
    <t>DF2100018</t>
  </si>
  <si>
    <t>DF2100020</t>
  </si>
  <si>
    <t>DF2100021</t>
  </si>
  <si>
    <t>DF2100027</t>
  </si>
  <si>
    <t>DF2100028</t>
  </si>
  <si>
    <t>DF2100030</t>
  </si>
  <si>
    <t>DF2100022</t>
  </si>
  <si>
    <t>DF2100023</t>
  </si>
  <si>
    <t>DF2100024</t>
  </si>
  <si>
    <t>DF2100025</t>
  </si>
  <si>
    <t>DF2100026</t>
  </si>
  <si>
    <t>DF2100032</t>
  </si>
  <si>
    <t>DF2100031</t>
  </si>
  <si>
    <t>DF2100037</t>
  </si>
  <si>
    <t>DF2100047</t>
  </si>
  <si>
    <t>DF2100052</t>
  </si>
  <si>
    <t>DF2100033</t>
  </si>
  <si>
    <t>DF2100034</t>
  </si>
  <si>
    <t>DF2100035</t>
  </si>
  <si>
    <t>DF2100036</t>
  </si>
  <si>
    <t>DF2100038</t>
  </si>
  <si>
    <t>DF2100039</t>
  </si>
  <si>
    <t>DF2100040</t>
  </si>
  <si>
    <t>DF2100041</t>
  </si>
  <si>
    <t>DF2100042</t>
  </si>
  <si>
    <t>DF2100043</t>
  </si>
  <si>
    <t>DF2100044</t>
  </si>
  <si>
    <t>DF2100045</t>
  </si>
  <si>
    <t>DF2100046</t>
  </si>
  <si>
    <t>DF2100048</t>
  </si>
  <si>
    <t>DF2100049</t>
  </si>
  <si>
    <t>DF2100057</t>
  </si>
  <si>
    <t>DF2100050</t>
  </si>
  <si>
    <t>DF2100051</t>
  </si>
  <si>
    <t>DF2100053</t>
  </si>
  <si>
    <t>DF2100054</t>
  </si>
  <si>
    <t>DF2100055</t>
  </si>
  <si>
    <t>DF2100056</t>
  </si>
  <si>
    <t>DF2100058</t>
  </si>
  <si>
    <t>DF2100059</t>
  </si>
  <si>
    <t>DF2100060</t>
  </si>
  <si>
    <t>DF2100061</t>
  </si>
  <si>
    <t>DF2100062</t>
  </si>
  <si>
    <t>DF2100063</t>
  </si>
  <si>
    <t>DF2100064</t>
  </si>
  <si>
    <t>DF2100070</t>
  </si>
  <si>
    <t>DF2100071</t>
  </si>
  <si>
    <t>DF2100072</t>
  </si>
  <si>
    <t>DF2100073</t>
  </si>
  <si>
    <t>DF2100074</t>
  </si>
  <si>
    <t>DF2100075</t>
  </si>
  <si>
    <t>DF2100076</t>
  </si>
  <si>
    <t>DF2100077</t>
  </si>
  <si>
    <t>DF2100079</t>
  </si>
  <si>
    <t>DF2100080</t>
  </si>
  <si>
    <t>DF2100081</t>
  </si>
  <si>
    <t>DF2100082</t>
  </si>
  <si>
    <t>DF2100083</t>
  </si>
  <si>
    <t>DF2100127</t>
  </si>
  <si>
    <t>DF2100078</t>
  </si>
  <si>
    <t>DF2100084</t>
  </si>
  <si>
    <t>DF2100091</t>
  </si>
  <si>
    <t>DF2100065</t>
  </si>
  <si>
    <t>DF2100066</t>
  </si>
  <si>
    <t>DF2100067</t>
  </si>
  <si>
    <t>DF2100068</t>
  </si>
  <si>
    <t>DF2100069</t>
  </si>
  <si>
    <t>DF2100092</t>
  </si>
  <si>
    <t>DF2100093</t>
  </si>
  <si>
    <t>DF2100094</t>
  </si>
  <si>
    <t>DF2100095</t>
  </si>
  <si>
    <t>DF2100096</t>
  </si>
  <si>
    <t>DF2100102</t>
  </si>
  <si>
    <t>DF2100110</t>
  </si>
  <si>
    <t>DF2100111</t>
  </si>
  <si>
    <t>DF2100112</t>
  </si>
  <si>
    <t>DF2100113</t>
  </si>
  <si>
    <t>DF2100114</t>
  </si>
  <si>
    <t>DF2100097</t>
  </si>
  <si>
    <t>DF2100085</t>
  </si>
  <si>
    <t>DF2100086</t>
  </si>
  <si>
    <t>DF2100098</t>
  </si>
  <si>
    <t>DF2100099</t>
  </si>
  <si>
    <t>DF2100100</t>
  </si>
  <si>
    <t>DF2100115</t>
  </si>
  <si>
    <t>DF2100116</t>
  </si>
  <si>
    <t>DF2100117</t>
  </si>
  <si>
    <t>DF2100123</t>
  </si>
  <si>
    <t>DF2100103</t>
  </si>
  <si>
    <t>DF2100104</t>
  </si>
  <si>
    <t>DF2100105</t>
  </si>
  <si>
    <t>DF2100106</t>
  </si>
  <si>
    <t>DF2100107</t>
  </si>
  <si>
    <t>DF2100108</t>
  </si>
  <si>
    <t>DF2100126</t>
  </si>
  <si>
    <t>DF2100087</t>
  </si>
  <si>
    <t>DF2100088</t>
  </si>
  <si>
    <t>DF2100089</t>
  </si>
  <si>
    <t>DF2100090</t>
  </si>
  <si>
    <t>DF2100109</t>
  </si>
  <si>
    <t>DF2100118</t>
  </si>
  <si>
    <t>DF2100122</t>
  </si>
  <si>
    <t>DF2100124</t>
  </si>
  <si>
    <t>DF2100125</t>
  </si>
  <si>
    <t>DF2100119</t>
  </si>
  <si>
    <t>DF2100120</t>
  </si>
  <si>
    <t>DF2100121</t>
  </si>
  <si>
    <t>DF2100128</t>
  </si>
  <si>
    <t>DF2100129</t>
  </si>
  <si>
    <t>DF2100131</t>
  </si>
  <si>
    <t>DF2100132</t>
  </si>
  <si>
    <t>DF2100133</t>
  </si>
  <si>
    <t>DF2100134</t>
  </si>
  <si>
    <t>DF2100135</t>
  </si>
  <si>
    <t>DF2100136</t>
  </si>
  <si>
    <t>DF2100137</t>
  </si>
  <si>
    <t>DF2100138</t>
  </si>
  <si>
    <t>DF2100184</t>
  </si>
  <si>
    <t>DF2100188</t>
  </si>
  <si>
    <t>DF2100189</t>
  </si>
  <si>
    <t>DF2100152</t>
  </si>
  <si>
    <t>DF2100153</t>
  </si>
  <si>
    <t>DF2100154</t>
  </si>
  <si>
    <t>DF2100155</t>
  </si>
  <si>
    <t>DF2100157</t>
  </si>
  <si>
    <t>DF2100156</t>
  </si>
  <si>
    <t>DF2100158</t>
  </si>
  <si>
    <t>DF2100159</t>
  </si>
  <si>
    <t>DF2100160</t>
  </si>
  <si>
    <t>DF2100161</t>
  </si>
  <si>
    <t>DF2100162</t>
  </si>
  <si>
    <t>DF2100163</t>
  </si>
  <si>
    <t>DF2100164</t>
  </si>
  <si>
    <t>DF2100165</t>
  </si>
  <si>
    <t>DF2100166</t>
  </si>
  <si>
    <t>DF2100167</t>
  </si>
  <si>
    <t>DF2100168</t>
  </si>
  <si>
    <t>DF2100169</t>
  </si>
  <si>
    <t>DF2100170</t>
  </si>
  <si>
    <t>DF2100171</t>
  </si>
  <si>
    <t>DF2100172</t>
  </si>
  <si>
    <t>DF2100236</t>
  </si>
  <si>
    <t>DF2100173</t>
  </si>
  <si>
    <t>DF2100174</t>
  </si>
  <si>
    <t>DF2100175</t>
  </si>
  <si>
    <t>DF2100176</t>
  </si>
  <si>
    <t>DF2100177</t>
  </si>
  <si>
    <t>DF2100178</t>
  </si>
  <si>
    <t>DF2100179</t>
  </si>
  <si>
    <t>DF2100180</t>
  </si>
  <si>
    <t>DF2100181</t>
  </si>
  <si>
    <t>DF2100182</t>
  </si>
  <si>
    <t>DF2100183</t>
  </si>
  <si>
    <t>DF2100185</t>
  </si>
  <si>
    <t>DF2100186</t>
  </si>
  <si>
    <t>DF2100187</t>
  </si>
  <si>
    <t>DF2100235</t>
  </si>
  <si>
    <t>DF2100203</t>
  </si>
  <si>
    <t>DF2100204</t>
  </si>
  <si>
    <t>DF2100205</t>
  </si>
  <si>
    <t>DF2100206</t>
  </si>
  <si>
    <t>DF2100190</t>
  </si>
  <si>
    <t>DF2100191</t>
  </si>
  <si>
    <t>DF2100192</t>
  </si>
  <si>
    <t>DF2100193</t>
  </si>
  <si>
    <t>DF2100194</t>
  </si>
  <si>
    <t>DF2100195</t>
  </si>
  <si>
    <t>DF2100196</t>
  </si>
  <si>
    <t>DF2100197</t>
  </si>
  <si>
    <t>DF2100198</t>
  </si>
  <si>
    <t>DF2100199</t>
  </si>
  <si>
    <t>DF2100200</t>
  </si>
  <si>
    <t>DF2100201</t>
  </si>
  <si>
    <t>DF2100202</t>
  </si>
  <si>
    <t>DF2100207</t>
  </si>
  <si>
    <t>DF2100208</t>
  </si>
  <si>
    <t>DF2100211</t>
  </si>
  <si>
    <t>DF2100215</t>
  </si>
  <si>
    <t>DF2100216</t>
  </si>
  <si>
    <t>DF2100217</t>
  </si>
  <si>
    <t>DF2100218</t>
  </si>
  <si>
    <t>DF2100219</t>
  </si>
  <si>
    <t>DF2100220</t>
  </si>
  <si>
    <t>DF2100221</t>
  </si>
  <si>
    <t>DF2100222</t>
  </si>
  <si>
    <t>DF2100223</t>
  </si>
  <si>
    <t>DF2100224</t>
  </si>
  <si>
    <t>DF2100225</t>
  </si>
  <si>
    <t>DF2100226</t>
  </si>
  <si>
    <t>DF2100227</t>
  </si>
  <si>
    <t>DF2100209</t>
  </si>
  <si>
    <t>DF2100210</t>
  </si>
  <si>
    <t>DF2100212</t>
  </si>
  <si>
    <t>DF2100213</t>
  </si>
  <si>
    <t>DF2100214</t>
  </si>
  <si>
    <t>DF2100228</t>
  </si>
  <si>
    <t>DF2100234</t>
  </si>
  <si>
    <t>DF2100229</t>
  </si>
  <si>
    <t>DF2100230</t>
  </si>
  <si>
    <t>DF2100231</t>
  </si>
  <si>
    <t>DF2100232</t>
  </si>
  <si>
    <t>DF2100233</t>
  </si>
  <si>
    <t>DF2100238</t>
  </si>
  <si>
    <t>DF2100237</t>
  </si>
  <si>
    <t>DF2100239</t>
  </si>
  <si>
    <t>DF2100243</t>
  </si>
  <si>
    <t>DF2100248</t>
  </si>
  <si>
    <t>DF2100240</t>
  </si>
  <si>
    <t>DF2100241</t>
  </si>
  <si>
    <t>DF2100242</t>
  </si>
  <si>
    <t>DF2100244</t>
  </si>
  <si>
    <t>DF2100245</t>
  </si>
  <si>
    <t>DF2100246</t>
  </si>
  <si>
    <t>DF2100247</t>
  </si>
  <si>
    <t>DF2100249</t>
  </si>
  <si>
    <t>DF2100250</t>
  </si>
  <si>
    <t>DF2100251</t>
  </si>
  <si>
    <t>DF2100252</t>
  </si>
  <si>
    <t>DF2100253</t>
  </si>
  <si>
    <t>DF2100254</t>
  </si>
  <si>
    <t>DF2100255</t>
  </si>
  <si>
    <t>DF2100256</t>
  </si>
  <si>
    <t>DF2100257</t>
  </si>
  <si>
    <t>DF2100258</t>
  </si>
  <si>
    <t>DF2100259</t>
  </si>
  <si>
    <t>DF2100260</t>
  </si>
  <si>
    <t>DF2100261</t>
  </si>
  <si>
    <t>DF2100262</t>
  </si>
  <si>
    <t>DF2100263</t>
  </si>
  <si>
    <t>DF2100264</t>
  </si>
  <si>
    <t>DF2100265</t>
  </si>
  <si>
    <t>DF2100266</t>
  </si>
  <si>
    <t>DF2100267</t>
  </si>
  <si>
    <t>DF2100268</t>
  </si>
  <si>
    <t>DF2100269</t>
  </si>
  <si>
    <t>DF2100270</t>
  </si>
  <si>
    <t>DF2100271</t>
  </si>
  <si>
    <t>DF2100272</t>
  </si>
  <si>
    <t>DF2100273</t>
  </si>
  <si>
    <t>DF2100274</t>
  </si>
  <si>
    <t>DF2100275</t>
  </si>
  <si>
    <t>DF2100276</t>
  </si>
  <si>
    <t>DF2100277</t>
  </si>
  <si>
    <t>DF2100278</t>
  </si>
  <si>
    <t>DF2100279</t>
  </si>
  <si>
    <t>DF2100280</t>
  </si>
  <si>
    <t>DF2100281</t>
  </si>
  <si>
    <t>DF2100282</t>
  </si>
  <si>
    <t>DF2100283</t>
  </si>
  <si>
    <t>DF2100289</t>
  </si>
  <si>
    <t>DF2100306</t>
  </si>
  <si>
    <t>DF2100307</t>
  </si>
  <si>
    <t>DF2100308</t>
  </si>
  <si>
    <t>DF2100309</t>
  </si>
  <si>
    <t>DF2100310</t>
  </si>
  <si>
    <t>DF2100311</t>
  </si>
  <si>
    <t>DF2100312</t>
  </si>
  <si>
    <t>DF2100313</t>
  </si>
  <si>
    <t>DF2100314</t>
  </si>
  <si>
    <t>DF2100315</t>
  </si>
  <si>
    <t>DF2100284</t>
  </si>
  <si>
    <t>DF2100285</t>
  </si>
  <si>
    <t>DF2100286</t>
  </si>
  <si>
    <t>DF2100287</t>
  </si>
  <si>
    <t>DF2100288</t>
  </si>
  <si>
    <t>DF2100290</t>
  </si>
  <si>
    <t>DF2100291</t>
  </si>
  <si>
    <t>DF2100292</t>
  </si>
  <si>
    <t>DF2100293</t>
  </si>
  <si>
    <t>DF2100294</t>
  </si>
  <si>
    <t>DF2100295</t>
  </si>
  <si>
    <t>DF2100296</t>
  </si>
  <si>
    <t>DF2100297</t>
  </si>
  <si>
    <t>DF2100298</t>
  </si>
  <si>
    <t>DF2100299</t>
  </si>
  <si>
    <t>DF2100300</t>
  </si>
  <si>
    <t>DF2100301</t>
  </si>
  <si>
    <t>DF2100302</t>
  </si>
  <si>
    <t>DF2100303</t>
  </si>
  <si>
    <t>DF2100304</t>
  </si>
  <si>
    <t>DF2100305</t>
  </si>
  <si>
    <t>DF2100316</t>
  </si>
  <si>
    <t>DF2100317</t>
  </si>
  <si>
    <t>DF2100318</t>
  </si>
  <si>
    <t>DF2100319</t>
  </si>
  <si>
    <t>DF2100320</t>
  </si>
  <si>
    <t>DF2100321</t>
  </si>
  <si>
    <t>DF2100322</t>
  </si>
  <si>
    <t>DF2100323</t>
  </si>
  <si>
    <t>DF2100324</t>
  </si>
  <si>
    <t>DF2100325</t>
  </si>
  <si>
    <t>DF2100326</t>
  </si>
  <si>
    <t>DF2100327</t>
  </si>
  <si>
    <t>DF2100328</t>
  </si>
  <si>
    <t>DF2100329</t>
  </si>
  <si>
    <t>DF2100330</t>
  </si>
  <si>
    <t>DF2100331</t>
  </si>
  <si>
    <t>DF2100332</t>
  </si>
  <si>
    <t>DF2100333</t>
  </si>
  <si>
    <t>DF2100334</t>
  </si>
  <si>
    <t>DF2100335</t>
  </si>
  <si>
    <t>DF2100336</t>
  </si>
  <si>
    <t>DF2100337</t>
  </si>
  <si>
    <t>DF2100338</t>
  </si>
  <si>
    <t>DF2100339</t>
  </si>
  <si>
    <t>DF2100340</t>
  </si>
  <si>
    <t>DF2100341</t>
  </si>
  <si>
    <t>DF2100342</t>
  </si>
  <si>
    <t>DF2100343</t>
  </si>
  <si>
    <t>DF2100344</t>
  </si>
  <si>
    <t>DF2100345</t>
  </si>
  <si>
    <t>DF2100346</t>
  </si>
  <si>
    <t>DF2100347</t>
  </si>
  <si>
    <t>DF2100348</t>
  </si>
  <si>
    <t>DF2100349</t>
  </si>
  <si>
    <t>DF2100350</t>
  </si>
  <si>
    <t>DF2100351</t>
  </si>
  <si>
    <t>DF2100352</t>
  </si>
  <si>
    <t>DF2100353</t>
  </si>
  <si>
    <t>DF2100354</t>
  </si>
  <si>
    <t>DF2100355</t>
  </si>
  <si>
    <t>DF2100356</t>
  </si>
  <si>
    <t>DF2100357</t>
  </si>
  <si>
    <t>DF2100358</t>
  </si>
  <si>
    <t>DF2100359</t>
  </si>
  <si>
    <t>DF2100360</t>
  </si>
  <si>
    <t>DF2100361</t>
  </si>
  <si>
    <t>DF2100362</t>
  </si>
  <si>
    <t>DF2100363</t>
  </si>
  <si>
    <t>DF2100364</t>
  </si>
  <si>
    <t>DF2100365</t>
  </si>
  <si>
    <t>DF2100366</t>
  </si>
  <si>
    <t>DF2100367</t>
  </si>
  <si>
    <t>DF2100368</t>
  </si>
  <si>
    <t>DF2100369</t>
  </si>
  <si>
    <t>DF2100370</t>
  </si>
  <si>
    <t>DF2100371</t>
  </si>
  <si>
    <t>DF2100372</t>
  </si>
  <si>
    <t>DF2100373</t>
  </si>
  <si>
    <t>DF2100374</t>
  </si>
  <si>
    <t>DF2100375</t>
  </si>
  <si>
    <t>DF2100376</t>
  </si>
  <si>
    <t>DF2100377</t>
  </si>
  <si>
    <t>DF2100378</t>
  </si>
  <si>
    <t>DF2100379</t>
  </si>
  <si>
    <t>DF2100380</t>
  </si>
  <si>
    <t>DF2100381</t>
  </si>
  <si>
    <t>DF2100382</t>
  </si>
  <si>
    <t>DF2100385</t>
  </si>
  <si>
    <t>DF2100386</t>
  </si>
  <si>
    <t>DF2100387</t>
  </si>
  <si>
    <t>DF2100388</t>
  </si>
  <si>
    <t>DF2100389</t>
  </si>
  <si>
    <t>DF2100390</t>
  </si>
  <si>
    <t>DF2100391</t>
  </si>
  <si>
    <t>DF2100392</t>
  </si>
  <si>
    <t>DF2100393</t>
  </si>
  <si>
    <t>DF2100394</t>
  </si>
  <si>
    <t>DF2100395</t>
  </si>
  <si>
    <t>DF2100396</t>
  </si>
  <si>
    <t>DF2100397</t>
  </si>
  <si>
    <t>DF2100398</t>
  </si>
  <si>
    <t>DF2100399</t>
  </si>
  <si>
    <t>DFH210001</t>
  </si>
  <si>
    <t>DFH210002</t>
  </si>
  <si>
    <t>DFH210003</t>
  </si>
  <si>
    <t>DFH210004</t>
  </si>
  <si>
    <t>DFH210005</t>
  </si>
  <si>
    <t>DFH210006</t>
  </si>
  <si>
    <t>DFH210007</t>
  </si>
  <si>
    <t>DFH210008</t>
  </si>
  <si>
    <t>DFH210009</t>
  </si>
  <si>
    <t>DFH210010</t>
  </si>
  <si>
    <t>DFH210011</t>
  </si>
  <si>
    <t>DFH210012</t>
  </si>
  <si>
    <t>DFH210014</t>
  </si>
  <si>
    <t>DFH210013</t>
  </si>
  <si>
    <t>DFH210015</t>
  </si>
  <si>
    <t>DFH210016</t>
  </si>
  <si>
    <t>DFH210017</t>
  </si>
  <si>
    <t>DFH210018</t>
  </si>
  <si>
    <t>DFH210019</t>
  </si>
  <si>
    <t>DFH210020</t>
  </si>
  <si>
    <t>DFH210021</t>
  </si>
  <si>
    <t>DFH210022</t>
  </si>
  <si>
    <t>DFH210023</t>
  </si>
  <si>
    <t>DFH210024</t>
  </si>
  <si>
    <t>DFH210025</t>
  </si>
  <si>
    <t>DFZ210002</t>
  </si>
  <si>
    <t>DFZ210001</t>
  </si>
  <si>
    <t>DFZ210003</t>
  </si>
  <si>
    <t>DFZ210004</t>
  </si>
  <si>
    <t>DFZ210005</t>
  </si>
  <si>
    <t>DFZ210006</t>
  </si>
  <si>
    <t>DFZ210007</t>
  </si>
  <si>
    <t>DFZ210008</t>
  </si>
  <si>
    <t>DFZ210009</t>
  </si>
  <si>
    <t>DFZ210011</t>
  </si>
  <si>
    <t>DFZ210012</t>
  </si>
  <si>
    <t>DFZ210013</t>
  </si>
  <si>
    <t>DFZ210014</t>
  </si>
  <si>
    <t>DFZ210015</t>
  </si>
  <si>
    <t>DFZ210010</t>
  </si>
  <si>
    <t>DFZ210016</t>
  </si>
  <si>
    <t>DFZ210017</t>
  </si>
  <si>
    <t>DFZ210018</t>
  </si>
  <si>
    <t>DFZ210019</t>
  </si>
  <si>
    <t>DFZ210020</t>
  </si>
  <si>
    <t>DFZ210021</t>
  </si>
  <si>
    <t>DFZ210022</t>
  </si>
  <si>
    <t>DFZ210024</t>
  </si>
  <si>
    <t>DFZ210026</t>
  </si>
  <si>
    <t>DFZ210027</t>
  </si>
  <si>
    <t>DFZ210028</t>
  </si>
  <si>
    <t>DFZ210025</t>
  </si>
  <si>
    <t>DFZ210023</t>
  </si>
  <si>
    <t>DFZ210030</t>
  </si>
  <si>
    <t>DFZ210034</t>
  </si>
  <si>
    <t>DFZ210035</t>
  </si>
  <si>
    <t>DFZ210029</t>
  </si>
  <si>
    <t>DFZ210031</t>
  </si>
  <si>
    <t>DFZ210032</t>
  </si>
  <si>
    <t>DFZ210033</t>
  </si>
  <si>
    <t>DFZ210039</t>
  </si>
  <si>
    <t>DFZ210036</t>
  </si>
  <si>
    <t>DFZ210040</t>
  </si>
  <si>
    <t>DFZ210041</t>
  </si>
  <si>
    <t>DFZ210037</t>
  </si>
  <si>
    <t>DFZ210038</t>
  </si>
  <si>
    <t>DFZ210045</t>
  </si>
  <si>
    <t>DFZ210046</t>
  </si>
  <si>
    <t>DFZ210042</t>
  </si>
  <si>
    <t>DFZ210043</t>
  </si>
  <si>
    <t>DFZ210044</t>
  </si>
  <si>
    <t>DFZ210047</t>
  </si>
  <si>
    <t>DFZ210056</t>
  </si>
  <si>
    <t>DFZ210049</t>
  </si>
  <si>
    <t>DFZ210050</t>
  </si>
  <si>
    <t>DFZ210051</t>
  </si>
  <si>
    <t>DFZ210048</t>
  </si>
  <si>
    <t>DFZ210052</t>
  </si>
  <si>
    <t>DFZ210053</t>
  </si>
  <si>
    <t>DFZ210054</t>
  </si>
  <si>
    <t>DFZ210055</t>
  </si>
  <si>
    <t>DFZ210057</t>
  </si>
  <si>
    <t>DF2100383</t>
  </si>
  <si>
    <t>DF2100384</t>
  </si>
  <si>
    <t>TALUX, s.r.o.</t>
  </si>
  <si>
    <t>OSBD</t>
  </si>
  <si>
    <t>ŽILBYT s.r.o.</t>
  </si>
  <si>
    <t>Okresný súd Žilina</t>
  </si>
  <si>
    <t>Otis výťahy s r.o.</t>
  </si>
  <si>
    <t>Základná škola</t>
  </si>
  <si>
    <t>Rastislav Masný - Požiarna prevencia</t>
  </si>
  <si>
    <t>JUDr. Lukáš Bútora</t>
  </si>
  <si>
    <t>ASANA</t>
  </si>
  <si>
    <t>Bytterm a.s. Žilina</t>
  </si>
  <si>
    <t>Šmárik Milan</t>
  </si>
  <si>
    <t>Igor Kaliský - ZOO MARKET</t>
  </si>
  <si>
    <t>TWG, s.r.o.</t>
  </si>
  <si>
    <t>JUDr. Stanislava Hulmanová</t>
  </si>
  <si>
    <t>MERKURY MARKET SLOVAKIA, s.r.o.</t>
  </si>
  <si>
    <t>HORVÁT trade, s.r.o.</t>
  </si>
  <si>
    <t>LGP parking s.r.o.</t>
  </si>
  <si>
    <t>NAY Elektrodom</t>
  </si>
  <si>
    <t>Viera Kováčiková</t>
  </si>
  <si>
    <t>Mgr. Bernard Janík, súdny exekútor</t>
  </si>
  <si>
    <t>Troščák Gabriel</t>
  </si>
  <si>
    <t>T+T, a.s.</t>
  </si>
  <si>
    <t>BENMAR s.r.o.</t>
  </si>
  <si>
    <t>JUDr. Janka Chorvátová, PhD., advokátka</t>
  </si>
  <si>
    <t>Mgr. Marián Kráľ, súdny exekútor</t>
  </si>
  <si>
    <t>ELEKTROSPED, a.s</t>
  </si>
  <si>
    <t>JUDr. Sabína Hodoňová</t>
  </si>
  <si>
    <t>JUDr. Jaroslav Kabáč, súdny exekútor</t>
  </si>
  <si>
    <t>Mgr. Marián Janec</t>
  </si>
  <si>
    <t>SeVak</t>
  </si>
  <si>
    <t>Rudolf Kuba Obchod s rozličným tovarom</t>
  </si>
  <si>
    <t>Keramok s. r. o.</t>
  </si>
  <si>
    <t>Ing. Adrián Bukovec</t>
  </si>
  <si>
    <t>MIPAP s.r.o.</t>
  </si>
  <si>
    <t>Miroslav Ondruš - AMPO</t>
  </si>
  <si>
    <t>FEROSTA a spol., s.r.o.</t>
  </si>
  <si>
    <t>Roman Synák</t>
  </si>
  <si>
    <t>ENERGO CONTROLS, spol. s r.o.</t>
  </si>
  <si>
    <t>Stredoslovenská energetika, a. s.</t>
  </si>
  <si>
    <t>Žilinská teplárenská a.s.</t>
  </si>
  <si>
    <t>Ing. Tibor Latko LAROKS</t>
  </si>
  <si>
    <t>TT Ice-snow s.r.o.</t>
  </si>
  <si>
    <t>D&amp;K klima s.r.o.</t>
  </si>
  <si>
    <t>INTERSTAV Žilina, s.r.o.</t>
  </si>
  <si>
    <t>Viess-Mont s.r.o.</t>
  </si>
  <si>
    <t>Miroslav Holeš, SAM-CO</t>
  </si>
  <si>
    <t>GEA Czech Republic s. r. o., organizačná zložka</t>
  </si>
  <si>
    <t>Telegrafia, a.s.</t>
  </si>
  <si>
    <t>RVT SiemControl, s.r.o.</t>
  </si>
  <si>
    <t>Lecol spol.s.r.o.</t>
  </si>
  <si>
    <t>40210080</t>
  </si>
  <si>
    <t>21120005</t>
  </si>
  <si>
    <t>210002</t>
  </si>
  <si>
    <t>210005</t>
  </si>
  <si>
    <t>8223578942</t>
  </si>
  <si>
    <t>8649023945</t>
  </si>
  <si>
    <t>6002785944</t>
  </si>
  <si>
    <t>210006</t>
  </si>
  <si>
    <t>17201604</t>
  </si>
  <si>
    <t>17201606</t>
  </si>
  <si>
    <t>17201613</t>
  </si>
  <si>
    <t>302100019</t>
  </si>
  <si>
    <t>210013</t>
  </si>
  <si>
    <t>210016</t>
  </si>
  <si>
    <t>210017</t>
  </si>
  <si>
    <t>210018</t>
  </si>
  <si>
    <t>210019</t>
  </si>
  <si>
    <t>210020</t>
  </si>
  <si>
    <t>210021</t>
  </si>
  <si>
    <t>210022</t>
  </si>
  <si>
    <t>210029</t>
  </si>
  <si>
    <t>15213585</t>
  </si>
  <si>
    <t>17201658</t>
  </si>
  <si>
    <t>17201657</t>
  </si>
  <si>
    <t>20210066</t>
  </si>
  <si>
    <t>7891869344</t>
  </si>
  <si>
    <t>6224507258</t>
  </si>
  <si>
    <t>20200582</t>
  </si>
  <si>
    <t>4539776</t>
  </si>
  <si>
    <t>20210008</t>
  </si>
  <si>
    <t>72021</t>
  </si>
  <si>
    <t>40210105</t>
  </si>
  <si>
    <t>20210079</t>
  </si>
  <si>
    <t>20210061</t>
  </si>
  <si>
    <t>210037</t>
  </si>
  <si>
    <t>310032</t>
  </si>
  <si>
    <t>210033</t>
  </si>
  <si>
    <t>210034</t>
  </si>
  <si>
    <t>19930121</t>
  </si>
  <si>
    <t>4621820473</t>
  </si>
  <si>
    <t>9502296537</t>
  </si>
  <si>
    <t>1823010622</t>
  </si>
  <si>
    <t>5792182908</t>
  </si>
  <si>
    <t>6081286335</t>
  </si>
  <si>
    <t>1942137223</t>
  </si>
  <si>
    <t>0051152270</t>
  </si>
  <si>
    <t>8495948443</t>
  </si>
  <si>
    <t>8614213984</t>
  </si>
  <si>
    <t>20210062</t>
  </si>
  <si>
    <t>21120037</t>
  </si>
  <si>
    <t>2140098</t>
  </si>
  <si>
    <t>210038</t>
  </si>
  <si>
    <t>210039</t>
  </si>
  <si>
    <t>210041</t>
  </si>
  <si>
    <t>210042</t>
  </si>
  <si>
    <t>210043</t>
  </si>
  <si>
    <t>210044</t>
  </si>
  <si>
    <t>9296917108</t>
  </si>
  <si>
    <t>42C292019</t>
  </si>
  <si>
    <t>0301128419</t>
  </si>
  <si>
    <t>0837848001</t>
  </si>
  <si>
    <t>6259059373</t>
  </si>
  <si>
    <t>5007712945</t>
  </si>
  <si>
    <t>2280837770</t>
  </si>
  <si>
    <t>210051</t>
  </si>
  <si>
    <t>210054</t>
  </si>
  <si>
    <t>210055</t>
  </si>
  <si>
    <t>210056</t>
  </si>
  <si>
    <t>210057</t>
  </si>
  <si>
    <t>210058</t>
  </si>
  <si>
    <t>210059</t>
  </si>
  <si>
    <t>210060</t>
  </si>
  <si>
    <t>17201742</t>
  </si>
  <si>
    <t>17201746</t>
  </si>
  <si>
    <t>17201736</t>
  </si>
  <si>
    <t>17201725</t>
  </si>
  <si>
    <t>0572021</t>
  </si>
  <si>
    <t>15214349</t>
  </si>
  <si>
    <t>210066</t>
  </si>
  <si>
    <t>20210160</t>
  </si>
  <si>
    <t>012021</t>
  </si>
  <si>
    <t>5056403784</t>
  </si>
  <si>
    <t>7879128523</t>
  </si>
  <si>
    <t>8172381884</t>
  </si>
  <si>
    <t>521010</t>
  </si>
  <si>
    <t>20210014</t>
  </si>
  <si>
    <t>2021001</t>
  </si>
  <si>
    <t>302100093</t>
  </si>
  <si>
    <t>2021003</t>
  </si>
  <si>
    <t>2021004</t>
  </si>
  <si>
    <t>2021005</t>
  </si>
  <si>
    <t>4539776053</t>
  </si>
  <si>
    <t>210068</t>
  </si>
  <si>
    <t>210069</t>
  </si>
  <si>
    <t>210070</t>
  </si>
  <si>
    <t>210071</t>
  </si>
  <si>
    <t>210072</t>
  </si>
  <si>
    <t>20210119</t>
  </si>
  <si>
    <t>1397576206</t>
  </si>
  <si>
    <t>2426317653</t>
  </si>
  <si>
    <t>19930221</t>
  </si>
  <si>
    <t>2021008</t>
  </si>
  <si>
    <t>302100100</t>
  </si>
  <si>
    <t>210073</t>
  </si>
  <si>
    <t>210074</t>
  </si>
  <si>
    <t>210075</t>
  </si>
  <si>
    <t>210086</t>
  </si>
  <si>
    <t>17201850</t>
  </si>
  <si>
    <t>17201851</t>
  </si>
  <si>
    <t>17201852</t>
  </si>
  <si>
    <t>17201853</t>
  </si>
  <si>
    <t>17201854</t>
  </si>
  <si>
    <t>17201843</t>
  </si>
  <si>
    <t>1815773202</t>
  </si>
  <si>
    <t>5641814214</t>
  </si>
  <si>
    <t>8746595639</t>
  </si>
  <si>
    <t>6763698427</t>
  </si>
  <si>
    <t>1538336122</t>
  </si>
  <si>
    <t>21120072</t>
  </si>
  <si>
    <t>210076</t>
  </si>
  <si>
    <t>210084</t>
  </si>
  <si>
    <t>210089</t>
  </si>
  <si>
    <t>210090</t>
  </si>
  <si>
    <t>210077</t>
  </si>
  <si>
    <t>210082</t>
  </si>
  <si>
    <t>210083</t>
  </si>
  <si>
    <t>2102830</t>
  </si>
  <si>
    <t>21100007</t>
  </si>
  <si>
    <t>2735320257</t>
  </si>
  <si>
    <t>2735667087</t>
  </si>
  <si>
    <t>0629817560</t>
  </si>
  <si>
    <t>7919888946</t>
  </si>
  <si>
    <t>0498823236</t>
  </si>
  <si>
    <t>2142404645</t>
  </si>
  <si>
    <t>6523599477</t>
  </si>
  <si>
    <t>7111123529</t>
  </si>
  <si>
    <t>210125</t>
  </si>
  <si>
    <t>19930321</t>
  </si>
  <si>
    <t>0320202</t>
  </si>
  <si>
    <t>5588469790</t>
  </si>
  <si>
    <t>1408291845</t>
  </si>
  <si>
    <t>6507569785</t>
  </si>
  <si>
    <t>0172292021</t>
  </si>
  <si>
    <t>210092</t>
  </si>
  <si>
    <t>21048</t>
  </si>
  <si>
    <t>210100</t>
  </si>
  <si>
    <t>210103</t>
  </si>
  <si>
    <t>210104</t>
  </si>
  <si>
    <t>210105</t>
  </si>
  <si>
    <t>210106</t>
  </si>
  <si>
    <t>210107</t>
  </si>
  <si>
    <t>210108</t>
  </si>
  <si>
    <t>210109</t>
  </si>
  <si>
    <t>15214845</t>
  </si>
  <si>
    <t>2520210001</t>
  </si>
  <si>
    <t>2520210002</t>
  </si>
  <si>
    <t>2520210003</t>
  </si>
  <si>
    <t>210117</t>
  </si>
  <si>
    <t>20210265</t>
  </si>
  <si>
    <t>20210163</t>
  </si>
  <si>
    <t>3620021</t>
  </si>
  <si>
    <t>302100173</t>
  </si>
  <si>
    <t>7826029915</t>
  </si>
  <si>
    <t>1419220106</t>
  </si>
  <si>
    <t>8308812448</t>
  </si>
  <si>
    <t>3988221408</t>
  </si>
  <si>
    <t>4163075015</t>
  </si>
  <si>
    <t>20210020</t>
  </si>
  <si>
    <t>210123</t>
  </si>
  <si>
    <t>210119</t>
  </si>
  <si>
    <t>210118</t>
  </si>
  <si>
    <t>210124</t>
  </si>
  <si>
    <t>210127</t>
  </si>
  <si>
    <t>210128</t>
  </si>
  <si>
    <t>4539776054</t>
  </si>
  <si>
    <t>332021</t>
  </si>
  <si>
    <t>1142021</t>
  </si>
  <si>
    <t>1102021</t>
  </si>
  <si>
    <t>1122021</t>
  </si>
  <si>
    <t>1112021</t>
  </si>
  <si>
    <t>0938797552</t>
  </si>
  <si>
    <t>7062879635</t>
  </si>
  <si>
    <t>0557513447</t>
  </si>
  <si>
    <t>2264293859</t>
  </si>
  <si>
    <t>8263689476</t>
  </si>
  <si>
    <t>1110865944</t>
  </si>
  <si>
    <t>1924742826</t>
  </si>
  <si>
    <t>4562971996</t>
  </si>
  <si>
    <t>1825090150</t>
  </si>
  <si>
    <t>6854066542</t>
  </si>
  <si>
    <t>9534074019</t>
  </si>
  <si>
    <t>6998629569</t>
  </si>
  <si>
    <t>06042021</t>
  </si>
  <si>
    <t>2021120321</t>
  </si>
  <si>
    <t>20210276</t>
  </si>
  <si>
    <t>21120107</t>
  </si>
  <si>
    <t>210129</t>
  </si>
  <si>
    <t>210136</t>
  </si>
  <si>
    <t>210133</t>
  </si>
  <si>
    <t>210139</t>
  </si>
  <si>
    <t>210138</t>
  </si>
  <si>
    <t>302100220</t>
  </si>
  <si>
    <t>20210195</t>
  </si>
  <si>
    <t>17202001</t>
  </si>
  <si>
    <t>17202000</t>
  </si>
  <si>
    <t>1701999</t>
  </si>
  <si>
    <t>17201998</t>
  </si>
  <si>
    <t>17201997</t>
  </si>
  <si>
    <t>17201994</t>
  </si>
  <si>
    <t>8402017185</t>
  </si>
  <si>
    <t>24318</t>
  </si>
  <si>
    <t>210093</t>
  </si>
  <si>
    <t>210137</t>
  </si>
  <si>
    <t>2520210004</t>
  </si>
  <si>
    <t>1401291069</t>
  </si>
  <si>
    <t>172016041</t>
  </si>
  <si>
    <t>210154</t>
  </si>
  <si>
    <t>210155</t>
  </si>
  <si>
    <t>210156</t>
  </si>
  <si>
    <t>210157</t>
  </si>
  <si>
    <t>210151</t>
  </si>
  <si>
    <t>15216194</t>
  </si>
  <si>
    <t>5117213312</t>
  </si>
  <si>
    <t>17202095</t>
  </si>
  <si>
    <t>210161</t>
  </si>
  <si>
    <t>20210365</t>
  </si>
  <si>
    <t>1015687427</t>
  </si>
  <si>
    <t>20210030</t>
  </si>
  <si>
    <t>20210359</t>
  </si>
  <si>
    <t>210167</t>
  </si>
  <si>
    <t>210170</t>
  </si>
  <si>
    <t>210169</t>
  </si>
  <si>
    <t>210168</t>
  </si>
  <si>
    <t>17202100</t>
  </si>
  <si>
    <t>4539776055</t>
  </si>
  <si>
    <t>210171</t>
  </si>
  <si>
    <t>210173</t>
  </si>
  <si>
    <t>2879</t>
  </si>
  <si>
    <t>3428</t>
  </si>
  <si>
    <t>61652</t>
  </si>
  <si>
    <t>1684</t>
  </si>
  <si>
    <t>199304210</t>
  </si>
  <si>
    <t>210174</t>
  </si>
  <si>
    <t>1591164866</t>
  </si>
  <si>
    <t>8501696861</t>
  </si>
  <si>
    <t>4029361849</t>
  </si>
  <si>
    <t>13319</t>
  </si>
  <si>
    <t>33719</t>
  </si>
  <si>
    <t>21120141</t>
  </si>
  <si>
    <t>210175</t>
  </si>
  <si>
    <t>210176</t>
  </si>
  <si>
    <t>210177</t>
  </si>
  <si>
    <t>210181</t>
  </si>
  <si>
    <t>210182</t>
  </si>
  <si>
    <t>210183</t>
  </si>
  <si>
    <t>210184</t>
  </si>
  <si>
    <t>2102548</t>
  </si>
  <si>
    <t>8808562683</t>
  </si>
  <si>
    <t>7325908783</t>
  </si>
  <si>
    <t>7492406736</t>
  </si>
  <si>
    <t>3474174178</t>
  </si>
  <si>
    <t>8067235732</t>
  </si>
  <si>
    <t>3401624246</t>
  </si>
  <si>
    <t>7277542168</t>
  </si>
  <si>
    <t>5029378006</t>
  </si>
  <si>
    <t>3976453245</t>
  </si>
  <si>
    <t>1129276778</t>
  </si>
  <si>
    <t>210185</t>
  </si>
  <si>
    <t>20210239</t>
  </si>
  <si>
    <t>210187</t>
  </si>
  <si>
    <t>210188</t>
  </si>
  <si>
    <t>210195</t>
  </si>
  <si>
    <t>210198</t>
  </si>
  <si>
    <t>210199</t>
  </si>
  <si>
    <t>210200</t>
  </si>
  <si>
    <t>210201</t>
  </si>
  <si>
    <t>210205</t>
  </si>
  <si>
    <t>210206</t>
  </si>
  <si>
    <t>210207</t>
  </si>
  <si>
    <t>52918</t>
  </si>
  <si>
    <t>17202195</t>
  </si>
  <si>
    <t>17202196</t>
  </si>
  <si>
    <t>17202182</t>
  </si>
  <si>
    <t>17202270</t>
  </si>
  <si>
    <t>2195489774</t>
  </si>
  <si>
    <t>5496578690</t>
  </si>
  <si>
    <t>7027599211</t>
  </si>
  <si>
    <t>2021012</t>
  </si>
  <si>
    <t>2021013</t>
  </si>
  <si>
    <t>302100295</t>
  </si>
  <si>
    <t>302100296</t>
  </si>
  <si>
    <t>2021016</t>
  </si>
  <si>
    <t>2021017</t>
  </si>
  <si>
    <t>2021018</t>
  </si>
  <si>
    <t>2021019</t>
  </si>
  <si>
    <t>302100301</t>
  </si>
  <si>
    <t>2021021</t>
  </si>
  <si>
    <t>20210038</t>
  </si>
  <si>
    <t>4539776056</t>
  </si>
  <si>
    <t>15216948</t>
  </si>
  <si>
    <t>210208</t>
  </si>
  <si>
    <t>210215</t>
  </si>
  <si>
    <t>210216</t>
  </si>
  <si>
    <t>9130182471</t>
  </si>
  <si>
    <t>8504951099</t>
  </si>
  <si>
    <t>6546237196</t>
  </si>
  <si>
    <t>3887706228</t>
  </si>
  <si>
    <t>0299202804</t>
  </si>
  <si>
    <t>5804910247</t>
  </si>
  <si>
    <t>0685386302</t>
  </si>
  <si>
    <t>5829093557</t>
  </si>
  <si>
    <t>3030283703</t>
  </si>
  <si>
    <t>6403922559</t>
  </si>
  <si>
    <t>8748819953</t>
  </si>
  <si>
    <t>6452289173</t>
  </si>
  <si>
    <t>2624737876</t>
  </si>
  <si>
    <t>210219</t>
  </si>
  <si>
    <t>210217</t>
  </si>
  <si>
    <t>210218</t>
  </si>
  <si>
    <t>17202308</t>
  </si>
  <si>
    <t>17202306</t>
  </si>
  <si>
    <t>20210468</t>
  </si>
  <si>
    <t>20210444</t>
  </si>
  <si>
    <t>210232</t>
  </si>
  <si>
    <t>210231</t>
  </si>
  <si>
    <t>210226</t>
  </si>
  <si>
    <t>210225</t>
  </si>
  <si>
    <t>210224</t>
  </si>
  <si>
    <t>210223</t>
  </si>
  <si>
    <t>210221</t>
  </si>
  <si>
    <t>19930210</t>
  </si>
  <si>
    <t>2021023</t>
  </si>
  <si>
    <t>302100348</t>
  </si>
  <si>
    <t>2021025</t>
  </si>
  <si>
    <t>2021026</t>
  </si>
  <si>
    <t>2021027</t>
  </si>
  <si>
    <t>2021028</t>
  </si>
  <si>
    <t>2021029</t>
  </si>
  <si>
    <t>2021030</t>
  </si>
  <si>
    <t>2021031</t>
  </si>
  <si>
    <t>2021032</t>
  </si>
  <si>
    <t>2021033</t>
  </si>
  <si>
    <t>302100358</t>
  </si>
  <si>
    <t>2021035</t>
  </si>
  <si>
    <t>2021036</t>
  </si>
  <si>
    <t>2021037</t>
  </si>
  <si>
    <t>2021038</t>
  </si>
  <si>
    <t>21120174</t>
  </si>
  <si>
    <t>21100011</t>
  </si>
  <si>
    <t>210236</t>
  </si>
  <si>
    <t>5551108391</t>
  </si>
  <si>
    <t>210241</t>
  </si>
  <si>
    <t>1820210391</t>
  </si>
  <si>
    <t>50718</t>
  </si>
  <si>
    <t>302100370</t>
  </si>
  <si>
    <t>210237</t>
  </si>
  <si>
    <t>210238</t>
  </si>
  <si>
    <t>210242</t>
  </si>
  <si>
    <t>08072021</t>
  </si>
  <si>
    <t>210250</t>
  </si>
  <si>
    <t>210253</t>
  </si>
  <si>
    <t>210254</t>
  </si>
  <si>
    <t>210255</t>
  </si>
  <si>
    <t>210256</t>
  </si>
  <si>
    <t>210260</t>
  </si>
  <si>
    <t>210261</t>
  </si>
  <si>
    <t>210262</t>
  </si>
  <si>
    <t>210146</t>
  </si>
  <si>
    <t>210141</t>
  </si>
  <si>
    <t>10062021</t>
  </si>
  <si>
    <t>11062021</t>
  </si>
  <si>
    <t>020621</t>
  </si>
  <si>
    <t>17202430</t>
  </si>
  <si>
    <t>17202429</t>
  </si>
  <si>
    <t>15217463</t>
  </si>
  <si>
    <t>17202472</t>
  </si>
  <si>
    <t>17202495</t>
  </si>
  <si>
    <t>20210319</t>
  </si>
  <si>
    <t>20210573</t>
  </si>
  <si>
    <t>542021</t>
  </si>
  <si>
    <t>20210046</t>
  </si>
  <si>
    <t>3211036233</t>
  </si>
  <si>
    <t>210004</t>
  </si>
  <si>
    <t>210024</t>
  </si>
  <si>
    <t>210028</t>
  </si>
  <si>
    <t>210035</t>
  </si>
  <si>
    <t>20210186</t>
  </si>
  <si>
    <t>210062</t>
  </si>
  <si>
    <t>210065</t>
  </si>
  <si>
    <t>210079</t>
  </si>
  <si>
    <t>210087</t>
  </si>
  <si>
    <t>210111</t>
  </si>
  <si>
    <t>210115</t>
  </si>
  <si>
    <t>2122</t>
  </si>
  <si>
    <t>1820210231</t>
  </si>
  <si>
    <t>210135</t>
  </si>
  <si>
    <t>210159</t>
  </si>
  <si>
    <t>210162</t>
  </si>
  <si>
    <t>210166</t>
  </si>
  <si>
    <t>20210517</t>
  </si>
  <si>
    <t>20210238</t>
  </si>
  <si>
    <t>210203</t>
  </si>
  <si>
    <t>210214</t>
  </si>
  <si>
    <t>210235</t>
  </si>
  <si>
    <t>210258</t>
  </si>
  <si>
    <t>142021</t>
  </si>
  <si>
    <t>210266</t>
  </si>
  <si>
    <t>2021002</t>
  </si>
  <si>
    <t>210001</t>
  </si>
  <si>
    <t>210023</t>
  </si>
  <si>
    <t>3211003587</t>
  </si>
  <si>
    <t>210031</t>
  </si>
  <si>
    <t>4584080007</t>
  </si>
  <si>
    <t>4702590121</t>
  </si>
  <si>
    <t>2021007</t>
  </si>
  <si>
    <t>210040</t>
  </si>
  <si>
    <t>2021015</t>
  </si>
  <si>
    <t>101423</t>
  </si>
  <si>
    <t>3211008463</t>
  </si>
  <si>
    <t>4702590221</t>
  </si>
  <si>
    <t>4584080008</t>
  </si>
  <si>
    <t>210061</t>
  </si>
  <si>
    <t>2021014</t>
  </si>
  <si>
    <t>10210065</t>
  </si>
  <si>
    <t>4702590321</t>
  </si>
  <si>
    <t>210080</t>
  </si>
  <si>
    <t>2021007a</t>
  </si>
  <si>
    <t>210110</t>
  </si>
  <si>
    <t>3211015416</t>
  </si>
  <si>
    <t>4584080009</t>
  </si>
  <si>
    <t>520210101</t>
  </si>
  <si>
    <t>0702590321</t>
  </si>
  <si>
    <t>2021024</t>
  </si>
  <si>
    <t>2021020</t>
  </si>
  <si>
    <t>210122</t>
  </si>
  <si>
    <t>210144</t>
  </si>
  <si>
    <t>2129</t>
  </si>
  <si>
    <t>2128</t>
  </si>
  <si>
    <t>210158</t>
  </si>
  <si>
    <t>3211021025</t>
  </si>
  <si>
    <t>4702590421</t>
  </si>
  <si>
    <t>4584080010</t>
  </si>
  <si>
    <t>21200118</t>
  </si>
  <si>
    <t>2021034</t>
  </si>
  <si>
    <t>21200120</t>
  </si>
  <si>
    <t>21200119</t>
  </si>
  <si>
    <t>210180</t>
  </si>
  <si>
    <t>210186</t>
  </si>
  <si>
    <t>2120122</t>
  </si>
  <si>
    <t>10210172</t>
  </si>
  <si>
    <t>2520210005</t>
  </si>
  <si>
    <t>210202</t>
  </si>
  <si>
    <t>3211029929</t>
  </si>
  <si>
    <t>4702590521</t>
  </si>
  <si>
    <t>4584080011</t>
  </si>
  <si>
    <t>210227</t>
  </si>
  <si>
    <t>202100034</t>
  </si>
  <si>
    <t>262</t>
  </si>
  <si>
    <t>210228</t>
  </si>
  <si>
    <t>210239</t>
  </si>
  <si>
    <t>4702590621</t>
  </si>
  <si>
    <t>4584080012</t>
  </si>
  <si>
    <t>210257</t>
  </si>
  <si>
    <t>3211041056</t>
  </si>
  <si>
    <t>21200158</t>
  </si>
  <si>
    <t>21200149</t>
  </si>
  <si>
    <t>oprava výťahu</t>
  </si>
  <si>
    <t>vodné a stočné BD Karpatská</t>
  </si>
  <si>
    <t>oprava a údržba školských zariadení MŠ 1/2021</t>
  </si>
  <si>
    <t>oprava a údržba školských zariadení ZŠ 1/2021</t>
  </si>
  <si>
    <t>oprava a údržba školských zariadení ZUŠ a CVČ 1/2021</t>
  </si>
  <si>
    <t>vyúčtovanie elektrickej energie  bunky za obdobie od 1.1.2021 do 31.1.2021</t>
  </si>
  <si>
    <t>paušalná odmena za január 2021</t>
  </si>
  <si>
    <t>oprava a údržba školských zariadení MŠ 2/2021</t>
  </si>
  <si>
    <t>oprava a údržba školských zariadení ZŠ 2/2021</t>
  </si>
  <si>
    <t>oprava a údržba školských zariadení ZUŠ a CVČ 2/2021</t>
  </si>
  <si>
    <t>servisné práce na balkónových oknách a dverách SP</t>
  </si>
  <si>
    <t>paušalná odmena za február 2021</t>
  </si>
  <si>
    <t>vodné a stočné 3/2021</t>
  </si>
  <si>
    <t>oprava a údržba školských zariadení MŠ 3/2021</t>
  </si>
  <si>
    <t>oprava a údržba školských zariadení ZUŠ a CVČ 3/2021</t>
  </si>
  <si>
    <t>oprava a údržba školských zariadení MŠ dobropis rok 2020</t>
  </si>
  <si>
    <t>oprava a údržba školských zariadení ZŠ dobropis rok 2020</t>
  </si>
  <si>
    <t>oprava a údržba školských zariadení ZUŠ a CVČ dobropis rok 2020</t>
  </si>
  <si>
    <t>dobropis vodné a stočné k fa 2021002 zo dňa 25.1.2021</t>
  </si>
  <si>
    <t>paušalná odmena za marec 2021</t>
  </si>
  <si>
    <t>poistenie majetku za obdobie od 1.1. do 31.5.2021</t>
  </si>
  <si>
    <t>vodné a stočné 5/2021</t>
  </si>
  <si>
    <t>paušalná odmena za apríl 2021</t>
  </si>
  <si>
    <t>oprava a údržba školských zariadení MŠ 4/2021</t>
  </si>
  <si>
    <t>oprava a údržba školských zariadení ZŠ 4/2021</t>
  </si>
  <si>
    <t>oprava a údržba školských zariadení ZUŠ a CVČ 4/2021</t>
  </si>
  <si>
    <t>oprava a údržba školských zariadení MŠ 5/2021</t>
  </si>
  <si>
    <t>oprava a údržba školských zariadení ZŠ 5/2021</t>
  </si>
  <si>
    <t>oprava a údržba školských zariadení ZUŠ a CVČ 5/2021</t>
  </si>
  <si>
    <t>paušalná odmena za máj 2021</t>
  </si>
  <si>
    <t>čerpanie vody z vodomernej šachty, výmena VDM BD Korzo 8434, 8435</t>
  </si>
  <si>
    <t>oškrabanie stien, protiplesňový postrek, penetračný náter, maľovanie, montáž plávajúcej podlahy a kuchynskej  linky, vypratnie bytovej jednotky</t>
  </si>
  <si>
    <t>preddavok plyn  1/2021 areál Hollého</t>
  </si>
  <si>
    <t>výkon správy .ZŠ Hollého 66  za   1/2021</t>
  </si>
  <si>
    <t>preddavok plyn  2/2021 areál Hollého</t>
  </si>
  <si>
    <t>preddavok el. energia 2/2021  -  Hollého</t>
  </si>
  <si>
    <t>výkon správy .ZŠ Hollého 66  za   2/2021</t>
  </si>
  <si>
    <t>preddavok el. energia 3/2021  -  Hollého</t>
  </si>
  <si>
    <t>výkon správy .ZŠ Hollého 66  za   3/2021</t>
  </si>
  <si>
    <t>preddavok plyn  4/2021 areál Hollého</t>
  </si>
  <si>
    <t>revízie  areál Hollého</t>
  </si>
  <si>
    <t>vytyčovanie vodovod.siete - areál Hollého</t>
  </si>
  <si>
    <t>preddavok el. energia 4/2021-  Hollého</t>
  </si>
  <si>
    <t>výkon správy .ZŠ Hollého 66  za   4/2021</t>
  </si>
  <si>
    <t>preddavok plyn  5/2021 areál Hollého</t>
  </si>
  <si>
    <t>preddavok el. energia 5/2021-  Hollého</t>
  </si>
  <si>
    <t>čistenie zvodov a žľabov vody v dlžke 60 m - budova Hollého</t>
  </si>
  <si>
    <t>kontrola hasiacich prístrojov, kontrolných štítkov, plomb, požiarnych vodovodov, tlaková skúška požiarnych hadíc, revízne správy</t>
  </si>
  <si>
    <t>výkon správy .ZŠ Hollého 66  za   5/2021</t>
  </si>
  <si>
    <t>preddavok plyn  6/2021 areál Hollého</t>
  </si>
  <si>
    <t>preddavok el. energia 6/2021-  Hollého</t>
  </si>
  <si>
    <t>výkon správy .ZŠ Hollého 66  za   6/2021</t>
  </si>
  <si>
    <t>diaľkový dozor výmenníková stanica  - ZŠ 1/2021</t>
  </si>
  <si>
    <t>výkon správy ZŠ za 1/2021</t>
  </si>
  <si>
    <t>vodné, zimný štadión  HK   1/2021</t>
  </si>
  <si>
    <t>výmena čerpadla - výmenička zimný štadión</t>
  </si>
  <si>
    <t>elektrická energia 1/2021 zimný štadion</t>
  </si>
  <si>
    <t>teplo zimný štadión   1/2021</t>
  </si>
  <si>
    <t>diaľkový dozor výmenníková stanica  - ZŠ 2/2021</t>
  </si>
  <si>
    <t>kľúče - zimný štadión</t>
  </si>
  <si>
    <t>sanacia havar.stavu obvod.plášť zimný štadion</t>
  </si>
  <si>
    <t>servis rolby</t>
  </si>
  <si>
    <t>vodné, zimný štadión  HK   2/2021</t>
  </si>
  <si>
    <t>teplo zimný štadión   2/2021</t>
  </si>
  <si>
    <t>elektrická energia 2/2021 zimný štadion</t>
  </si>
  <si>
    <t>výkon správy ZŠ za 2/2021</t>
  </si>
  <si>
    <t>diaľkový dozor výmenníková stanica  - ZŠ 3/2021</t>
  </si>
  <si>
    <t>servisná prehliadka a výmena filtrov vzduchoteknika zimný štadion</t>
  </si>
  <si>
    <t>teplo zimný štadión   vyúčt. rok 2020</t>
  </si>
  <si>
    <t>kľúče  + materiál - zimný štadión</t>
  </si>
  <si>
    <t>oprava poškod. dilatácii obvod. plášťa - zimný štadion</t>
  </si>
  <si>
    <t>výkon správy ZŠ za 3/2021</t>
  </si>
  <si>
    <t>vodné, zimný štadión  HK   3/2021</t>
  </si>
  <si>
    <t>elektrická energia 3/2021 zimný štadion</t>
  </si>
  <si>
    <t>2ks čerpadlá - zimný štadión</t>
  </si>
  <si>
    <t>teplo zimný štadión   3/2021</t>
  </si>
  <si>
    <t>servis  komunikačného modulu   - ZŠ</t>
  </si>
  <si>
    <t>diaľkový dozor výmenníková stanica  - ZŠ 4/2021</t>
  </si>
  <si>
    <t>poistenie majetku 1-5/2021 - zimný štadión</t>
  </si>
  <si>
    <t>prenájom  rolby obdobie 1-6/2021</t>
  </si>
  <si>
    <t>vypracovanie rozpočt. stavby - výmena odtokových  žľabov na novej hale  Zim.štadióna</t>
  </si>
  <si>
    <t>vypracovanie rozpočt. stavby -   Zim.štadióna</t>
  </si>
  <si>
    <t>výkon správy ZŠ za 4/2021</t>
  </si>
  <si>
    <t>vodné, zimný štadión  HK   4/2021</t>
  </si>
  <si>
    <t>teplo zimný štadión   4/2021</t>
  </si>
  <si>
    <t>elektrická energia 4/2021 zimný štadion</t>
  </si>
  <si>
    <t>oprava  kompresora   - ZŠ</t>
  </si>
  <si>
    <t>diaľkový dozor výmenníková stanica  - ZŠ 5/2021</t>
  </si>
  <si>
    <t>poistenie majetku do 30.6.2021 - zimný štadión</t>
  </si>
  <si>
    <t>stoličky - zimný štadión</t>
  </si>
  <si>
    <t>servis  komunikačného modulu  - siréna - ZŠ</t>
  </si>
  <si>
    <t>riadiaci systém  REGINk odvlhoč. zariadeniu - odvlhčovacie zariadenie Cotes - trening.hala ZŠ</t>
  </si>
  <si>
    <t>výkon správy ZŠ za 5/2021</t>
  </si>
  <si>
    <t>vodné, zimný štadión  HK   5/2021</t>
  </si>
  <si>
    <t>teplo zimný štadión   5/2021</t>
  </si>
  <si>
    <t>elektrická energia 5/2021 zimný štadion</t>
  </si>
  <si>
    <t>oprava  - zimný štadion</t>
  </si>
  <si>
    <t>meranie teploty a vlhkosti v hlav. hale - zimný štadión</t>
  </si>
  <si>
    <t>zneškodnenie odpadu - motorový olej  - ZŠ</t>
  </si>
  <si>
    <t>maliarsky materiál - zimný štadion</t>
  </si>
  <si>
    <t>teplo zimný štadión   6/2021</t>
  </si>
  <si>
    <t>elektrická energia 6/2021 zimný štadion</t>
  </si>
  <si>
    <t>výkon správy ZŠ za 6/2021</t>
  </si>
  <si>
    <t>vodné, zimný štadión  HK   6/2021</t>
  </si>
  <si>
    <t>VS</t>
  </si>
  <si>
    <t>Dodávateľ</t>
  </si>
  <si>
    <t>IČO</t>
  </si>
  <si>
    <t>Obj/zmluva</t>
  </si>
  <si>
    <t>OBJ200296</t>
  </si>
  <si>
    <t>OBJ210025</t>
  </si>
  <si>
    <t>OBJ210020</t>
  </si>
  <si>
    <t>OBJ210041</t>
  </si>
  <si>
    <t>OBJ210011</t>
  </si>
  <si>
    <t>OBJ210050</t>
  </si>
  <si>
    <t>OBJ210079</t>
  </si>
  <si>
    <t>OBJ210096</t>
  </si>
  <si>
    <t>46723994</t>
  </si>
  <si>
    <t>00176265</t>
  </si>
  <si>
    <t>-</t>
  </si>
  <si>
    <t>35683929</t>
  </si>
  <si>
    <t>zmluva o dielo</t>
  </si>
  <si>
    <t>37813013</t>
  </si>
  <si>
    <t>dohoda o refakturácií nákladov č.Z020/2020</t>
  </si>
  <si>
    <t>36441821</t>
  </si>
  <si>
    <t>zmluva o poskytovaní služieb pri správe, údržbe a servise technologického zariadenia č. S - Z 2017 002-S001</t>
  </si>
  <si>
    <t>51865467</t>
  </si>
  <si>
    <t>zmluva</t>
  </si>
  <si>
    <t>42433622</t>
  </si>
  <si>
    <t>zmluva o poskytovaní právnych služieb Z462/2019</t>
  </si>
  <si>
    <t>14254883</t>
  </si>
  <si>
    <t>OBJ210018</t>
  </si>
  <si>
    <t>OBJ210081</t>
  </si>
  <si>
    <t>OBJ210077</t>
  </si>
  <si>
    <t>31584705</t>
  </si>
  <si>
    <t xml:space="preserve">zmluva o dodávke tepla </t>
  </si>
  <si>
    <t>dohoda</t>
  </si>
  <si>
    <t>33373850</t>
  </si>
  <si>
    <t>OBJ210004</t>
  </si>
  <si>
    <t>10947833</t>
  </si>
  <si>
    <t>OBJ210038</t>
  </si>
  <si>
    <t>36661791</t>
  </si>
  <si>
    <t>OBJ210028</t>
  </si>
  <si>
    <t>42222656</t>
  </si>
  <si>
    <t>51231735</t>
  </si>
  <si>
    <t>46878807</t>
  </si>
  <si>
    <t>OBJ210056</t>
  </si>
  <si>
    <t>60930471</t>
  </si>
  <si>
    <t>42064171</t>
  </si>
  <si>
    <t>OBJ210022</t>
  </si>
  <si>
    <t>OBJ210055</t>
  </si>
  <si>
    <t>OBJ210023</t>
  </si>
  <si>
    <t>41753224</t>
  </si>
  <si>
    <t>OBJ210063</t>
  </si>
  <si>
    <t>36400491</t>
  </si>
  <si>
    <t>OBJ210075</t>
  </si>
  <si>
    <t>44153392</t>
  </si>
  <si>
    <t>zmluva o poskytovaní služieb č. Z 005/2021</t>
  </si>
  <si>
    <t>35663456</t>
  </si>
  <si>
    <t>35765038</t>
  </si>
  <si>
    <t>OBJ210082</t>
  </si>
  <si>
    <t>37801571</t>
  </si>
  <si>
    <t>42214939</t>
  </si>
  <si>
    <t>00321796</t>
  </si>
  <si>
    <t>OBJ210059</t>
  </si>
  <si>
    <t>46322396</t>
  </si>
  <si>
    <t>OBJ210116</t>
  </si>
  <si>
    <t>45597839</t>
  </si>
  <si>
    <t>OBJ210042</t>
  </si>
  <si>
    <t>OBJ210087</t>
  </si>
  <si>
    <t>40943232</t>
  </si>
  <si>
    <t>36020028</t>
  </si>
  <si>
    <t>OBJ200097</t>
  </si>
  <si>
    <t>36403032</t>
  </si>
  <si>
    <t>10982868</t>
  </si>
  <si>
    <t>OBJ200317</t>
  </si>
  <si>
    <t>07087039</t>
  </si>
  <si>
    <t>OBJ210021</t>
  </si>
  <si>
    <t>51162270</t>
  </si>
  <si>
    <t>OBJ200187</t>
  </si>
  <si>
    <t>31595367</t>
  </si>
  <si>
    <t>OBJ210035</t>
  </si>
  <si>
    <t>46222979</t>
  </si>
  <si>
    <t>OBJ210058</t>
  </si>
  <si>
    <t>OBJ210057</t>
  </si>
  <si>
    <t>10939741</t>
  </si>
  <si>
    <t>OBJ210076</t>
  </si>
  <si>
    <t>45331073</t>
  </si>
  <si>
    <t>OBJ210039</t>
  </si>
  <si>
    <t>OBJ210036</t>
  </si>
  <si>
    <t>OBJ210040</t>
  </si>
  <si>
    <t>OBJ210037</t>
  </si>
  <si>
    <t>17081386</t>
  </si>
  <si>
    <t>OBJ210093</t>
  </si>
  <si>
    <t>36401421</t>
  </si>
  <si>
    <t>OBJ210089</t>
  </si>
  <si>
    <t>31610447</t>
  </si>
  <si>
    <t>OBJ210109</t>
  </si>
  <si>
    <t>Suma s DPH</t>
  </si>
  <si>
    <t>53721578</t>
  </si>
  <si>
    <t>OBJ210069</t>
  </si>
  <si>
    <t>OBJ210108</t>
  </si>
  <si>
    <t>OBJ210101</t>
  </si>
  <si>
    <t>OBJ210132</t>
  </si>
  <si>
    <t>OBJ210133</t>
  </si>
  <si>
    <t>33741000</t>
  </si>
  <si>
    <t>OBJ210102</t>
  </si>
  <si>
    <t>OBJ210092</t>
  </si>
  <si>
    <t>mandátna zmluva č.24/2017</t>
  </si>
  <si>
    <t>zmluva č.25/2017 o vykonávaní prác a služieb</t>
  </si>
  <si>
    <t>OBJ210062</t>
  </si>
  <si>
    <t>mandátna zmluva č.420/2018</t>
  </si>
  <si>
    <t>zmluva na poskytnutie výkonov a služieb, OBJ210100</t>
  </si>
  <si>
    <t>OBJ210006</t>
  </si>
  <si>
    <t>OBJ210009</t>
  </si>
  <si>
    <t>OBJ210052</t>
  </si>
  <si>
    <t>OBJ210070</t>
  </si>
  <si>
    <t>36672297</t>
  </si>
  <si>
    <t>zmluva na poskytovanie výkonov a služieb, OBJ210086</t>
  </si>
  <si>
    <t>DF2100400</t>
  </si>
  <si>
    <t>DF2100401</t>
  </si>
  <si>
    <t>DF2100402</t>
  </si>
  <si>
    <t>DF2100403</t>
  </si>
  <si>
    <t>DF2100404</t>
  </si>
  <si>
    <t>DF2100405</t>
  </si>
  <si>
    <t>DF2100406</t>
  </si>
  <si>
    <t>DF2100407</t>
  </si>
  <si>
    <t>DF2100408</t>
  </si>
  <si>
    <t>DF2100409</t>
  </si>
  <si>
    <t>DF2100410</t>
  </si>
  <si>
    <t>DF2100411</t>
  </si>
  <si>
    <t>DF2100412</t>
  </si>
  <si>
    <t>DF2100413</t>
  </si>
  <si>
    <t>DF2100414</t>
  </si>
  <si>
    <t>DF2100415</t>
  </si>
  <si>
    <t>DF2100416</t>
  </si>
  <si>
    <t>DF2100417</t>
  </si>
  <si>
    <t>DF2100418</t>
  </si>
  <si>
    <t>DF2100419</t>
  </si>
  <si>
    <t>DF2100420</t>
  </si>
  <si>
    <t>DF2100421</t>
  </si>
  <si>
    <t>DF2100422</t>
  </si>
  <si>
    <t>DF2100423</t>
  </si>
  <si>
    <t>DF2100424</t>
  </si>
  <si>
    <t>DF2100425</t>
  </si>
  <si>
    <t>DF2100426</t>
  </si>
  <si>
    <t>DF2100427</t>
  </si>
  <si>
    <t>DF2100428</t>
  </si>
  <si>
    <t>DF2100429</t>
  </si>
  <si>
    <t>DF2100430</t>
  </si>
  <si>
    <t>DF2100431</t>
  </si>
  <si>
    <t>1287138612</t>
  </si>
  <si>
    <t>Suma bez DPH</t>
  </si>
  <si>
    <t>5347093675</t>
  </si>
  <si>
    <t>1685637694</t>
  </si>
  <si>
    <t>20210558</t>
  </si>
  <si>
    <t>6093968458</t>
  </si>
  <si>
    <t>0281484188</t>
  </si>
  <si>
    <t>2936077847</t>
  </si>
  <si>
    <t>0477925895</t>
  </si>
  <si>
    <t>2382702732</t>
  </si>
  <si>
    <t>7144298002</t>
  </si>
  <si>
    <t>1222016</t>
  </si>
  <si>
    <t>21120223</t>
  </si>
  <si>
    <t>199306210</t>
  </si>
  <si>
    <t>210263</t>
  </si>
  <si>
    <t>210264</t>
  </si>
  <si>
    <t>210268</t>
  </si>
  <si>
    <t>teplo BD Predmestská 06/21</t>
  </si>
  <si>
    <t>spracovanie poštových poukazov  06/21</t>
  </si>
  <si>
    <t>preddavky el.energie v BD a ND 07/21</t>
  </si>
  <si>
    <t>210271</t>
  </si>
  <si>
    <t>vodné, stočné v BD D.Dlabača 774/31 za 06/21</t>
  </si>
  <si>
    <t>210273</t>
  </si>
  <si>
    <t xml:space="preserve">el.energia v BD Jedlíková, J.Hronca, Borová, Bratislavská, Korzo </t>
  </si>
  <si>
    <t>210274</t>
  </si>
  <si>
    <t>telefóny vo výťahoch v BD</t>
  </si>
  <si>
    <t>210275</t>
  </si>
  <si>
    <t>upratovanie v BD Košická, Predmestská, Korzo, J.Hronca, Korzo za 06/21</t>
  </si>
  <si>
    <t>upratovanie v BD Košická, Predmestská, Korzo, J.Hronca, Korzo za 01/21</t>
  </si>
  <si>
    <t>upratovanie v BD Košická, Predmestská, Korzo, J.Hronca, Korzo za 02/21</t>
  </si>
  <si>
    <t>upratovanie v BD Košická, Predmestská, Korzo, J.Hronca, Korzo za 03/21</t>
  </si>
  <si>
    <t>upratovanie v BD Košická, Predmestská, Korzo, J.Hronca, Korzo za 04/21</t>
  </si>
  <si>
    <t>upratovanie v BD Košická, Predmestská, Korzo, J.Hronca, Korzo za 05/21</t>
  </si>
  <si>
    <t>882021</t>
  </si>
  <si>
    <t>OBJ210125</t>
  </si>
  <si>
    <t>dezinsekcia proti mravcom a osiam: Borová 8110/43</t>
  </si>
  <si>
    <t>892021</t>
  </si>
  <si>
    <t>OBJ210135</t>
  </si>
  <si>
    <t>210278</t>
  </si>
  <si>
    <t>vodné, stočné v BD 07/21</t>
  </si>
  <si>
    <t>210279</t>
  </si>
  <si>
    <t>210280</t>
  </si>
  <si>
    <t>el.energia v BD Jedlíková, Petzvalová</t>
  </si>
  <si>
    <t>dezinsekcia proti mravcom a osiam: Petzvalová 19</t>
  </si>
  <si>
    <t>materiál použitý v BD: J.Hronca, Jedlíková</t>
  </si>
  <si>
    <t>210281</t>
  </si>
  <si>
    <t>el.energia, zrážková voda, plyn v BD: Košická ul. za 06/21</t>
  </si>
  <si>
    <t>210282</t>
  </si>
  <si>
    <t xml:space="preserve">preddavky el.energie v BD: Petzvalova, Korzo 07/21, montáž elektromera </t>
  </si>
  <si>
    <t>210286</t>
  </si>
  <si>
    <t>preddavky el.energie v BD, ND 07/21</t>
  </si>
  <si>
    <t>210288</t>
  </si>
  <si>
    <t>vodné, stočné a prevádzka rozvod.sietí a kanalizácie ul.Košická za 2.Q/21</t>
  </si>
  <si>
    <t>210276</t>
  </si>
  <si>
    <t>vodoinštalačné, kúrenárske a elektroinštalačné práce, oprava obkladov, vymaľovanie,..</t>
  </si>
  <si>
    <t>210283</t>
  </si>
  <si>
    <t>materiál použitý v BD: J.Hronca, Kempelenova</t>
  </si>
  <si>
    <t>1321</t>
  </si>
  <si>
    <t>Ing. Štefan Halvoň</t>
  </si>
  <si>
    <t>10952471</t>
  </si>
  <si>
    <t>OBJ210107</t>
  </si>
  <si>
    <t>statický posudok na BD Bratislavská 38</t>
  </si>
  <si>
    <t>Popl.za správu bytov: Timravy, Tulská, Minčolská, Bôrická cesta, Bajzová, Gabajová 1/21</t>
  </si>
  <si>
    <t>Popl.za správu bytov: Timravy, Tulská, Minčolská, Bôrická cesta, Bajzová, Gabajová 2/21</t>
  </si>
  <si>
    <t>Popl.za správu bytov: Timravy, Tulská, Minčolská, Bôrická cesta, Bajzová, Gabajová 3/21</t>
  </si>
  <si>
    <t>Popl.za správu bytov: Timravy, Tulská, Minčolská, Bôrická cesta, Bajzová, Gabajová 4/21</t>
  </si>
  <si>
    <t>Popl.za správu bytov: Timravy, Tulská, Minčolská, Bôrická cesta, Bajzová, Gabajová 5/21</t>
  </si>
  <si>
    <t>Popl.za správu bytov: Timravy, Tulská, Minčolská, Bôrická cesta, Bajzová, Gabajová 6/21</t>
  </si>
  <si>
    <t>Popl.za správu bytov: Timravy, Tulská, Minčolská, Bôrická cesta, Bajzová, Gabajová 7/21</t>
  </si>
  <si>
    <t>preddavky na plyn v BD a NP 01/21</t>
  </si>
  <si>
    <t>spotreba el. energie v BD: Pri Rajčianke od 18.8.2020 do 31.12.2020</t>
  </si>
  <si>
    <t>správa bytov a nebyt.priestorov, vedenie účtov kúpnych zmlúv 01/21</t>
  </si>
  <si>
    <t>správa bytov a nebyt.priestorov, vedenie účtov kúpnych zmlúv 03/21</t>
  </si>
  <si>
    <t>správa bytov a nebyt.priestorov, vedenie účtov kúpnych zmlúv 04/21</t>
  </si>
  <si>
    <t>správa bytov a nebyt.priestorov, vedenie účtov kúpnych zmlúv 05/21</t>
  </si>
  <si>
    <t>správa bytov a nebyt.priestorov, vedenie účtov kúpnych zmlúv 06/21</t>
  </si>
  <si>
    <t>správa NP: CO kryty 01/21</t>
  </si>
  <si>
    <t>správa NP: CO kryty 03/21</t>
  </si>
  <si>
    <t>správa NP: CO kryty 04/21</t>
  </si>
  <si>
    <t>správa NP: CO kryty 05/21</t>
  </si>
  <si>
    <t>správa NP: CO kryty 06/21</t>
  </si>
  <si>
    <t>správa NP: školské zariadenia: ZŠ 01/21</t>
  </si>
  <si>
    <t>správa NP: školské zariadenia: ZŠ 03/21</t>
  </si>
  <si>
    <t>správa NP: školské zariadenia: ZŠ 05/21</t>
  </si>
  <si>
    <t>správa NP: školské zariadenia: ZŠ 06/21</t>
  </si>
  <si>
    <t>správa NP: školské zariadenia: MŠ 01/21</t>
  </si>
  <si>
    <t>správa NP: školské zariadenia: MŠ 03/21</t>
  </si>
  <si>
    <t>správa NP: školské zariadenia: MŠ 05/21</t>
  </si>
  <si>
    <t>správa NP: školské zariadenia: CVČ a ZUŠ 01/21</t>
  </si>
  <si>
    <t>správa NP: školské zariadenia: CVČ a ZUŠ 03/21</t>
  </si>
  <si>
    <t>správa NP: školské zariadenia: CVČ a ZUŠ 05/21</t>
  </si>
  <si>
    <t>správa NP: školské zariadenia: CVČ a ZUŠ 06/21</t>
  </si>
  <si>
    <t>oprava a údržba školských zariadení ZŠ 3/2021</t>
  </si>
  <si>
    <t>preddavky na plyn v BD a NP 02/21</t>
  </si>
  <si>
    <t>zmluvný servis výťahov 01/21</t>
  </si>
  <si>
    <t>zmluvný servis výťahov 02/21</t>
  </si>
  <si>
    <t>zmluvný servis výťahov 03/21</t>
  </si>
  <si>
    <t>zmluvný servis výťahov 05/21</t>
  </si>
  <si>
    <t>zmluvný servis výťahov 06/21</t>
  </si>
  <si>
    <t xml:space="preserve">revízie hasiacich prístrojov, záznam, výmena + oprava </t>
  </si>
  <si>
    <t>oprava výťahu Kempelenová 35</t>
  </si>
  <si>
    <t>oprava výťahu Kempelenová 29</t>
  </si>
  <si>
    <t>revízie technických zariadení Horný Val 24</t>
  </si>
  <si>
    <t>monitoring prevádzkových stavov plynovej kotolne Horný Val za 01/21</t>
  </si>
  <si>
    <t>odborná prehliadka komína / dymovodu</t>
  </si>
  <si>
    <t>dezinsekcia proti švábom a rusom v BD: Pri Rajčianke 40</t>
  </si>
  <si>
    <t>spotreba el.energie v BD:  Borová 43, Bratislavská 8535</t>
  </si>
  <si>
    <t>vodné a stočné za BD a NP 2/2021</t>
  </si>
  <si>
    <t>preddavky el.energie za BD a NP 02/21</t>
  </si>
  <si>
    <t>tepelná energia v BD 01/21</t>
  </si>
  <si>
    <t>tepelná energia v BD 02/21</t>
  </si>
  <si>
    <t>tepelná energia v BD 03/21</t>
  </si>
  <si>
    <t>tepelná energia v BD 04/21</t>
  </si>
  <si>
    <t>tepelná energia v BD 05/21</t>
  </si>
  <si>
    <t>tepelná energia v BD 06/21</t>
  </si>
  <si>
    <t>kontrola požiarnych vodovodov, tlaková skúška, záznam/protokol: Borová 43, 45</t>
  </si>
  <si>
    <t xml:space="preserve">hasiaci prístroj, samolepky stanovište has.prístroja, umiestnenie HP, montáž HP, dokumentácia HP: Borová </t>
  </si>
  <si>
    <t>výmena prasknutej pevnej spojky D25, hadica hydrantová: bytovky Hájik</t>
  </si>
  <si>
    <t>telefóny vo výťahoch v BD 02/21</t>
  </si>
  <si>
    <t>montáž elektromera v BD J.Hronca 19</t>
  </si>
  <si>
    <t>teplo v BD Predmestská 01/21</t>
  </si>
  <si>
    <t>spracovanie poštových poukazov  01/21</t>
  </si>
  <si>
    <t>elektrická energia, zrážková voda, plyn v BD na Košickej ul. za 01/21</t>
  </si>
  <si>
    <t>preddavky na spotrebu energií 02/21 OM 4101513959</t>
  </si>
  <si>
    <t>spotreba studenej vody v CO krytoch za obdobie od 1.1.2020 do 31.12.2020</t>
  </si>
  <si>
    <t>termovízne meranie ul. J.Hronca 25/49</t>
  </si>
  <si>
    <t>preddavky spotreby energií v BD a NP 03/21</t>
  </si>
  <si>
    <t>oprava výťahu Karpatská 10</t>
  </si>
  <si>
    <t>oprava výťahu Kempelenova 47</t>
  </si>
  <si>
    <t>dodanie knihy kontrol výťahov BD Hájik</t>
  </si>
  <si>
    <t>oprava výťahu Kempelenova 29</t>
  </si>
  <si>
    <t>čistenie kanalizácie 7.1.2021 bunky na Bratislavskej ul.</t>
  </si>
  <si>
    <t>monitoring prevádzkových stavov plynovej kotolne Horný Val za 02/21</t>
  </si>
  <si>
    <t>monitoring prevádzkových stavov plynovej kotolne Horný Val za 03/21</t>
  </si>
  <si>
    <t>monitoring prevádzkových stavov plynovej kotolne Horný Val za 04/21</t>
  </si>
  <si>
    <t>monitoring prevádzkových stavov plynovej kotolne Horný Val za 05/21</t>
  </si>
  <si>
    <t>monitoring prevádzkových stavov plynovej kotolne Horný Val za 06/21</t>
  </si>
  <si>
    <t>kontrola hasiacich prístrojov, oprava has.prístroja, kontrola požiarnych vodovodov, tlaková skúška: ubytovňa Predmestská 1610/86</t>
  </si>
  <si>
    <t>vyúčt. spotreby el. enerie: bunky za 02/21</t>
  </si>
  <si>
    <t>oprava výťahu J.Hronca 9</t>
  </si>
  <si>
    <t>oprava výťahu Segnerová 4</t>
  </si>
  <si>
    <t>oprava výťahu Korzo 6</t>
  </si>
  <si>
    <t>oprava výťahu Korzo 1</t>
  </si>
  <si>
    <t>oprava výťahu Kempelenová 45</t>
  </si>
  <si>
    <t>maliarske práce: Jedlíková 4/5, Korzo 8434/31/901, J.Hronca 21/16</t>
  </si>
  <si>
    <t>upratovanie v BD Korzo za 12/2020</t>
  </si>
  <si>
    <t xml:space="preserve"> teplo Predmestská ul. 02/21</t>
  </si>
  <si>
    <t>spracovanie poštových poukazov  02/21</t>
  </si>
  <si>
    <t>telefóny vo výťahoch v BD za 03/21</t>
  </si>
  <si>
    <t>spotreba el.energie v BD: Bratislavská 8535 02/21</t>
  </si>
  <si>
    <t>elektrická energia, zrážková voda, plyn v BD na Košickej ul. za 02/21</t>
  </si>
  <si>
    <t>vyúčtovanie nákl. na teplo: Predmestská ul.  R.2020</t>
  </si>
  <si>
    <t>materiál na opravu a údržbu v BD</t>
  </si>
  <si>
    <t>výmena termostatickej hlavice, montáž konzoly na umývadle: Korzo 11, Čuleňová 6</t>
  </si>
  <si>
    <t>oprava osvetlenia Horný Val 24</t>
  </si>
  <si>
    <t>spotreba el.energie v BD a NP: Borová 43 potraviny za 02/21</t>
  </si>
  <si>
    <t>preddavky na el.energiu za BD a NP 03/21</t>
  </si>
  <si>
    <t>preddavky energií za BD a NP 03/21</t>
  </si>
  <si>
    <t>kuchynská linka Jedlíková 4</t>
  </si>
  <si>
    <t xml:space="preserve">nákup ventilátorov </t>
  </si>
  <si>
    <t>pravidelná technická prehliadka automatického parkovacieho systému:Hájik za 1.Q/21</t>
  </si>
  <si>
    <t>upomínacie konanie -z návrhu na vydanie platobného rozkazu</t>
  </si>
  <si>
    <t>digestory J.Hronca 21, Jedlíková 4</t>
  </si>
  <si>
    <t>materiál sanita obklad,dlažba J.Hronca 21/16</t>
  </si>
  <si>
    <t>preddavky spotreby energií v BD a NP 04/21</t>
  </si>
  <si>
    <t>výkon technika PO 1-3/21 obj. Horný Val 24</t>
  </si>
  <si>
    <t>preddavky energií a vyúčtovanie spotreby energií v BD a NP 04/21</t>
  </si>
  <si>
    <t>telefóny vo výťahoch v BD za 04/21</t>
  </si>
  <si>
    <t>vodné a stočné v BD a NP za 4/2021</t>
  </si>
  <si>
    <t>náklady na teplo BD Predmestská 03/21</t>
  </si>
  <si>
    <t>spracovanie poštových poukazov 03/21</t>
  </si>
  <si>
    <t>vyúčt. spotreby el. energie v BD a NP: Jedlíkova 4, Bratislavská 36, Borová 43</t>
  </si>
  <si>
    <t>vyúč. spotreby el. energie  bunky za 03/21</t>
  </si>
  <si>
    <t>oškrabanie stien, protiplesňový postrek, penetračný náter, maľovanie, montáž parapiet, lišt, kuchynskej linky, demontáž a montáž WC, sifónu a batérie Bratislavská 46/3</t>
  </si>
  <si>
    <t>čistenie kanalizácie BD 10.2.2021 Petzvalová 43</t>
  </si>
  <si>
    <t>čistenie kanalizácie 10.2.2021 BD Bratislavská 46</t>
  </si>
  <si>
    <t>čistenie kanalizácie 8.3.2021 BD Čulenova 6</t>
  </si>
  <si>
    <t>čistenie kanalizácie 12.2.2021 BD J.Sklenára 2</t>
  </si>
  <si>
    <t xml:space="preserve">pristavenie a odvoz VKK </t>
  </si>
  <si>
    <t>služby VTZ za 03/21</t>
  </si>
  <si>
    <t>vodoinštalačný materiál J.Hronca 21, Jedlíkova 4</t>
  </si>
  <si>
    <t>vodné, stočné a prevádzka rozvod.sietí a kanalizácie ul.Košická za 1.Q/21</t>
  </si>
  <si>
    <t>maliarsky materiál Korzo 17</t>
  </si>
  <si>
    <t>preddavky na el.energiu za BD a NP 04/21</t>
  </si>
  <si>
    <t>spotreba el. energie BD Jedlíkova 27 od 01.01.21 do 09.04.21</t>
  </si>
  <si>
    <t>el.energia, zrážková voda, plyn v BD: Košická ul. za 03/21</t>
  </si>
  <si>
    <t>kontrola hasiacich prístrojov, kontrola požiarnych vodovodov, tlaková skúška: ubytovňa Predmestská 1610/86</t>
  </si>
  <si>
    <t xml:space="preserve">kontrola požiarnych vodovodov, tlaková skúška, záznam/protokol:BD Karpatská </t>
  </si>
  <si>
    <t>oprava výťahu J.Hronca 23</t>
  </si>
  <si>
    <t>oprava výťahu J.Hronca 19</t>
  </si>
  <si>
    <t>oprava výťahu J.Hronca 25</t>
  </si>
  <si>
    <t>oprava výťahu J.Hronca 21</t>
  </si>
  <si>
    <t>knihy kontrol výťahov: BD Korzo 1,3,7,11,13,Segnerová 4</t>
  </si>
  <si>
    <t>sporáky:  Bratislavská 46, Petzvalova 19, J. Hronca 21, Jedlíkova 4, J.Hronca 11, Petzvalova 43</t>
  </si>
  <si>
    <t>deratizácia proti hlodavcom: Petzvalova 19</t>
  </si>
  <si>
    <t>dezinsekcia proti švábom a rusom v BD: Pri Rajčianke 40 -opakovaný postrek po 5 tyz.</t>
  </si>
  <si>
    <t>zmluvný servis výťahov 04/21</t>
  </si>
  <si>
    <t>oprava výťahu J.Hronca 17</t>
  </si>
  <si>
    <t>služby VTZ za 04/21</t>
  </si>
  <si>
    <t xml:space="preserve">poplatky za vystavenie upomienok -nájom v BD a NP </t>
  </si>
  <si>
    <t>telefóny vo výťahoch v BD 05/21</t>
  </si>
  <si>
    <t>nákl. na teplo v BD Predmestská 04/21</t>
  </si>
  <si>
    <t>preddavky spotreby energií v BD 05/21</t>
  </si>
  <si>
    <t>oprava výťahu Korzo 5</t>
  </si>
  <si>
    <t>vyúčt. elektrickej energie  bunky za 04/21</t>
  </si>
  <si>
    <t>spracovanie poštových poukazov za 04/21</t>
  </si>
  <si>
    <t>vyúčt. el. energie Borová 43, Bratislavská 8535 04/21</t>
  </si>
  <si>
    <t>poplatky za potvrdenia o veku BD Hollého 616, Jedlíkova 3428, Závodská cesta 2879, Tulská 1684</t>
  </si>
  <si>
    <t>preddavky za el.energiu v BD a NP 05/21</t>
  </si>
  <si>
    <t xml:space="preserve">výmeny termostatických hlavíc, elektroinštalačné práce, demontáž + pokládka novej pláv.podlahy, .. </t>
  </si>
  <si>
    <t>dopoistenie majetku za obdobie od 1.1 do 30.6.2021</t>
  </si>
  <si>
    <t>materiál: dlažba J.Hronca 21</t>
  </si>
  <si>
    <t>preddavky spotreby energií v BD Korzo, Kempelenova 05/21</t>
  </si>
  <si>
    <t>oprava výťahu Kempelenova 31</t>
  </si>
  <si>
    <t>oprava výťahu J.Hronca 5</t>
  </si>
  <si>
    <t>kontrola hasiaceho prístroja, oprava + TS has.prístroja, revízna správa: bytovky Hájik</t>
  </si>
  <si>
    <t>vyúčtovanie elektrickej energie  bunky za 05/21</t>
  </si>
  <si>
    <t>el.energia, zrážková voda, plyn 04/21 BD Košická</t>
  </si>
  <si>
    <t>demontáž a montáž drezovej batérie, oprava sifónu, demontáž rohov, ventilu, výmena WC Jedlíkova 27</t>
  </si>
  <si>
    <t>správa NP: školské zariadenia : MŠ 05/21</t>
  </si>
  <si>
    <t>preddavky na vodné a stočné v BD a NP 06/21</t>
  </si>
  <si>
    <t>preddavky spotreby energií v BD a NP  06/2021</t>
  </si>
  <si>
    <t>spracovanie poštových poukazov za 05/21</t>
  </si>
  <si>
    <t>nákl.na energie v BD Jedlíkova, Korzo 05/21</t>
  </si>
  <si>
    <t>náklady na teplo Predmestská 05/21</t>
  </si>
  <si>
    <t>vyúčt.+ preddavky za energie v BD Bratislavská 46, Jedlíkova 4-5, Borová 43, Bratislavská 8535, Korzo 3405 05/21</t>
  </si>
  <si>
    <t>oprava výťahu J.Hronca 11</t>
  </si>
  <si>
    <t>knihy kontrol výťahu Korzo 5</t>
  </si>
  <si>
    <t>služby VTZ 05/21</t>
  </si>
  <si>
    <t>telefóny vo výťahoch v BD 06/21</t>
  </si>
  <si>
    <t>elektroinštalačné práce Jedlíkova 27, Korzo 7</t>
  </si>
  <si>
    <t>upratovanie v BD Košická, Predmestská za 04/21</t>
  </si>
  <si>
    <t>maliarsky materiál na opravy Borová 45/26, Kempelenova 33/33</t>
  </si>
  <si>
    <t>montáž elektromera v BD Korzo 3466</t>
  </si>
  <si>
    <t>vyhotovenia ročných vyúčtovaní nákladov a služieb spojených s užívaním bytov a NP za r.2020</t>
  </si>
  <si>
    <t>pravidelná technická prehliadka automatického parkovacieho systému:Hájik za 2.Q/21</t>
  </si>
  <si>
    <t>preddavky na el.energiu za BD a NP 06/21</t>
  </si>
  <si>
    <t>el.energia, zrážková voda, plyn na BD Košická 05/21</t>
  </si>
  <si>
    <t>vyúčt.+ preddavky za energie v BD Petzvalova 06/21</t>
  </si>
  <si>
    <t>náklady na vodné, stočné a zrážkovu vodu J. Sklenára 2071/3 od 1.1.2021 do 7.6.2021</t>
  </si>
  <si>
    <t>preddavky spotreby energií v BD a NP za 06/21</t>
  </si>
  <si>
    <t>správa NP: MŠ 06/21</t>
  </si>
  <si>
    <t>oprava a údržba školských zariadení MŠ 06/2021</t>
  </si>
  <si>
    <t>oprava a údržba školských zariadení ZŠ 06/2021</t>
  </si>
  <si>
    <t>oprava a údržba školských zariadení ZUŠ a CVČ 06/2021</t>
  </si>
  <si>
    <t>šporáky: ul.Bratislavská 36, Predmestská 1, Korzo 4, J.Hronca 23, Petzvalová 1/9, Jedlíková 6</t>
  </si>
  <si>
    <t>šporáky: ul. Petzvalová 7, Jedlíková 27, Borová 45</t>
  </si>
  <si>
    <t>kontrola a čistenie komínov ul. Bratislavská</t>
  </si>
  <si>
    <t>oprava výťahu J.Hronca 3</t>
  </si>
  <si>
    <t>výkon technika PO 4-6/21 obj. Horný Val 24</t>
  </si>
  <si>
    <t>OBJ210053</t>
  </si>
  <si>
    <t>znalecký posudok na stanovenie hodnoty bytu T.Vansovej</t>
  </si>
  <si>
    <t>paušalná odmena za 06/2021</t>
  </si>
  <si>
    <t>vodné,stočné 06/21</t>
  </si>
  <si>
    <t>služby VTZ 06/21</t>
  </si>
  <si>
    <t>stojan k bezdotykovému dávkovaču, dávkovač na dezinfekciu - Hollého</t>
  </si>
  <si>
    <t>posypová soľ - Hollého</t>
  </si>
  <si>
    <t>41076371</t>
  </si>
  <si>
    <t>oprava kovovej brány zváraním - ZŠ Hollého</t>
  </si>
  <si>
    <t>DFH210026</t>
  </si>
  <si>
    <t>210284</t>
  </si>
  <si>
    <t>pripojenie objektu zimného štadióna k sieti SRP 1-6/2021</t>
  </si>
  <si>
    <t>zmluva č.447/2018</t>
  </si>
  <si>
    <t>DFZ210058</t>
  </si>
  <si>
    <t>DFZ210059</t>
  </si>
  <si>
    <t>DFZ210060</t>
  </si>
  <si>
    <t>DFZ210061</t>
  </si>
  <si>
    <t>DFZ210062</t>
  </si>
  <si>
    <t>DFZ210063</t>
  </si>
  <si>
    <t>DFZ210064</t>
  </si>
  <si>
    <t>DFZ210065</t>
  </si>
  <si>
    <t>3211042098</t>
  </si>
  <si>
    <t>vyúčt. vodné, zimný štadión  HK  1-6/2021</t>
  </si>
  <si>
    <t>210270</t>
  </si>
  <si>
    <t>pripojenie objektu zimného štadióna k sieti SRP 7/2021</t>
  </si>
  <si>
    <t>OBJ200119</t>
  </si>
  <si>
    <t>diaľkový dozor výmenníková stanica  - ZŠ 7/2021</t>
  </si>
  <si>
    <t>2021046</t>
  </si>
  <si>
    <t>602021</t>
  </si>
  <si>
    <t>Primachlad, a.s.</t>
  </si>
  <si>
    <t>51229471</t>
  </si>
  <si>
    <t>OBJ210071</t>
  </si>
  <si>
    <t>výmena obehových čerpadiel a pravidelný ročný servis čpavkovej strojovne chladenia -ZŠ</t>
  </si>
  <si>
    <t>210277</t>
  </si>
  <si>
    <t>OBJ210106</t>
  </si>
  <si>
    <t>maliarsky materiál a maľovanie -ZŠ</t>
  </si>
  <si>
    <t>1421</t>
  </si>
  <si>
    <t>OBJ210121</t>
  </si>
  <si>
    <t>statický posudok: posúdenie únosnosti strechy -tren.hala zimného štadióna</t>
  </si>
  <si>
    <t>20210026</t>
  </si>
  <si>
    <t>INŠTALA ST, s.r.o.</t>
  </si>
  <si>
    <t>44748213</t>
  </si>
  <si>
    <t>OBJ210029</t>
  </si>
  <si>
    <t>dodávka, montáž, naprogramovanie dávkovacieho čerpadla s príslušenstvom do chladiacej stanice na ZŠ</t>
  </si>
  <si>
    <t>1020210034</t>
  </si>
  <si>
    <t>REMOP s.r.o.</t>
  </si>
  <si>
    <t>47943670</t>
  </si>
  <si>
    <t>OBJ210094</t>
  </si>
  <si>
    <t>elektroinštalačné práce -ZŠ</t>
  </si>
  <si>
    <t>DF2100432</t>
  </si>
  <si>
    <t>DF2100433</t>
  </si>
  <si>
    <t>DF2100434</t>
  </si>
  <si>
    <t>DF2100435</t>
  </si>
  <si>
    <t>DF2100436</t>
  </si>
  <si>
    <t>DF2100437</t>
  </si>
  <si>
    <t>DF2100438</t>
  </si>
  <si>
    <t>DF2100439</t>
  </si>
  <si>
    <t>DF2100440</t>
  </si>
  <si>
    <t>DF2100441</t>
  </si>
  <si>
    <t>DF2100442</t>
  </si>
  <si>
    <t>DF2100443</t>
  </si>
  <si>
    <t>DF2100444</t>
  </si>
  <si>
    <t>DF2100445</t>
  </si>
  <si>
    <t>DF2100446</t>
  </si>
  <si>
    <t>DF2100447</t>
  </si>
  <si>
    <t>DF2100448</t>
  </si>
  <si>
    <t>DF2100449</t>
  </si>
  <si>
    <t>DF2100450</t>
  </si>
  <si>
    <t>DF2100451</t>
  </si>
  <si>
    <t>DF2100452</t>
  </si>
  <si>
    <t>DF2100453</t>
  </si>
  <si>
    <t>DF2100454</t>
  </si>
  <si>
    <t>DFZ210066</t>
  </si>
  <si>
    <t>DFZ210067</t>
  </si>
  <si>
    <t>DFZ210068</t>
  </si>
  <si>
    <t>210290</t>
  </si>
  <si>
    <t>maliarsky materiál ZŠ</t>
  </si>
  <si>
    <t>210305</t>
  </si>
  <si>
    <t>3211047867</t>
  </si>
  <si>
    <t>DFH210027</t>
  </si>
  <si>
    <t>DFH210028</t>
  </si>
  <si>
    <t>210306</t>
  </si>
  <si>
    <t>210312</t>
  </si>
  <si>
    <t>40210682</t>
  </si>
  <si>
    <t>20210643</t>
  </si>
  <si>
    <t>služby VTZ 07/21</t>
  </si>
  <si>
    <t>210291</t>
  </si>
  <si>
    <t>predd.plyn BD Petzvalová 8501/43A  07/21</t>
  </si>
  <si>
    <t>210308</t>
  </si>
  <si>
    <t>oprava a údržba školských zariadení MŠ 07/2021</t>
  </si>
  <si>
    <t>210309</t>
  </si>
  <si>
    <t>oprava a údržba školských zariadení ZŠ 07/2021</t>
  </si>
  <si>
    <t>210310</t>
  </si>
  <si>
    <t>správa NP: školské zariadenia: CVČ a ZUŠ 07/21</t>
  </si>
  <si>
    <t>210301</t>
  </si>
  <si>
    <t>správa NP: CO kryty 07/21</t>
  </si>
  <si>
    <t>210302</t>
  </si>
  <si>
    <t>správa NP: MŠ 07/21</t>
  </si>
  <si>
    <t>210303</t>
  </si>
  <si>
    <t>správa NP: školské zariadenia: ZŠ 07/21</t>
  </si>
  <si>
    <t>210298</t>
  </si>
  <si>
    <t>správa bytov a nebyt.priestorov, vedenie účtov kúpnych zmlúv 07/21</t>
  </si>
  <si>
    <t>210313</t>
  </si>
  <si>
    <t>preddavky spotreby energií v BD a NP za 07/21</t>
  </si>
  <si>
    <t>15219010</t>
  </si>
  <si>
    <t>zmluvný servis výťahov 07/21</t>
  </si>
  <si>
    <t>Stĺpec1</t>
  </si>
  <si>
    <t>3236086926</t>
  </si>
  <si>
    <t>2470576667</t>
  </si>
  <si>
    <t>5030338635</t>
  </si>
  <si>
    <t>6059080082</t>
  </si>
  <si>
    <t>8618842051</t>
  </si>
  <si>
    <t>0676324957</t>
  </si>
  <si>
    <t>3863700898</t>
  </si>
  <si>
    <t>4341796656</t>
  </si>
  <si>
    <t>0729109926</t>
  </si>
  <si>
    <t>0251014163</t>
  </si>
  <si>
    <t>210304</t>
  </si>
  <si>
    <t>OBJ210112</t>
  </si>
  <si>
    <t>OBJ210103</t>
  </si>
  <si>
    <t>OBJ210074</t>
  </si>
  <si>
    <t>DF2100455</t>
  </si>
  <si>
    <t>DF2100456</t>
  </si>
  <si>
    <t>DF2100457</t>
  </si>
  <si>
    <t>DF2100458</t>
  </si>
  <si>
    <t>DF2100459</t>
  </si>
  <si>
    <t>DF2100460</t>
  </si>
  <si>
    <t>DF2100461</t>
  </si>
  <si>
    <t>DF2100462</t>
  </si>
  <si>
    <t>DF2100463</t>
  </si>
  <si>
    <t>DF2100464</t>
  </si>
  <si>
    <t>DF2100465</t>
  </si>
  <si>
    <t>DF2100466</t>
  </si>
  <si>
    <t>DF2100467</t>
  </si>
  <si>
    <t>DF2100468</t>
  </si>
  <si>
    <t>DF2100469</t>
  </si>
  <si>
    <t>DF2100470</t>
  </si>
  <si>
    <t>DF2100471</t>
  </si>
  <si>
    <t>DF2100472</t>
  </si>
  <si>
    <t>DF2100473</t>
  </si>
  <si>
    <t>DF2100474</t>
  </si>
  <si>
    <t>DF2100475</t>
  </si>
  <si>
    <t>DF2100476</t>
  </si>
  <si>
    <t>DF2100477</t>
  </si>
  <si>
    <t>DF2100478</t>
  </si>
  <si>
    <t>DF2100479</t>
  </si>
  <si>
    <t>DF2100480</t>
  </si>
  <si>
    <t>DF2100481</t>
  </si>
  <si>
    <t>DF2100482</t>
  </si>
  <si>
    <t>DF2100483</t>
  </si>
  <si>
    <t>DF2100484</t>
  </si>
  <si>
    <t>DF2100485</t>
  </si>
  <si>
    <t>DF2100486</t>
  </si>
  <si>
    <t>DF2100487</t>
  </si>
  <si>
    <t>DF2100488</t>
  </si>
  <si>
    <t>DF2100489</t>
  </si>
  <si>
    <t>DF2100490</t>
  </si>
  <si>
    <t>DF2100491</t>
  </si>
  <si>
    <t>DF2100492</t>
  </si>
  <si>
    <t>DF2100493</t>
  </si>
  <si>
    <t>DF2100494</t>
  </si>
  <si>
    <t>DF2100495</t>
  </si>
  <si>
    <t>DF2100496</t>
  </si>
  <si>
    <t>DF2100497</t>
  </si>
  <si>
    <t>DF2100498</t>
  </si>
  <si>
    <t>DF2100499</t>
  </si>
  <si>
    <t>DF2100500</t>
  </si>
  <si>
    <t>DF2100501</t>
  </si>
  <si>
    <t>DF2100502</t>
  </si>
  <si>
    <t>DF2100503</t>
  </si>
  <si>
    <t>DF2100504</t>
  </si>
  <si>
    <t>DF2100505</t>
  </si>
  <si>
    <t>DF2100506</t>
  </si>
  <si>
    <t>DF2100507</t>
  </si>
  <si>
    <t>DF2100508</t>
  </si>
  <si>
    <t>DFH210029</t>
  </si>
  <si>
    <t>210323</t>
  </si>
  <si>
    <t>preddavok el. energia 08/2021-  Hollého</t>
  </si>
  <si>
    <t>preddavok plyn  07/2021 areál Hollého</t>
  </si>
  <si>
    <t>preddavok el. energia 07/2021-  Hollého</t>
  </si>
  <si>
    <t>výkon správy .ZŠ Hollého 66  za  07/2021</t>
  </si>
  <si>
    <t>preddavok plyn 07/2021 areál Hollého</t>
  </si>
  <si>
    <t>DFZ210069</t>
  </si>
  <si>
    <t>DFZ210070</t>
  </si>
  <si>
    <t>DFZ210071</t>
  </si>
  <si>
    <t>DFZ210072</t>
  </si>
  <si>
    <t>DFZ210073</t>
  </si>
  <si>
    <t>DFZ210074</t>
  </si>
  <si>
    <t>202100047</t>
  </si>
  <si>
    <t>OBJ2100138</t>
  </si>
  <si>
    <t>oprava merania teploty ľadu T2 v hlavnej hale ZŠ</t>
  </si>
  <si>
    <t>210317</t>
  </si>
  <si>
    <t>pripojenie objektu zimného štadióna k sieti SRP 08/2021</t>
  </si>
  <si>
    <t>výkon správy ZŠ za 07/2021</t>
  </si>
  <si>
    <t>vodné, zimný štadión  HK   07/2021</t>
  </si>
  <si>
    <t>4702590721</t>
  </si>
  <si>
    <t>teplo zimný štadión   07/2021</t>
  </si>
  <si>
    <t>9214050289</t>
  </si>
  <si>
    <t>elektrická energia 07/2021 zimný štadion</t>
  </si>
  <si>
    <t>2021052</t>
  </si>
  <si>
    <t>zmluva o dielo Z204/2021</t>
  </si>
  <si>
    <t>Vyrovnanie betónového povrchu hracej plochy na hlavnej hale ZŠ</t>
  </si>
  <si>
    <t>2021058</t>
  </si>
  <si>
    <t>diaľkový dozor výmenníková stanica  - ZŠ 08/2021</t>
  </si>
  <si>
    <t>2021049</t>
  </si>
  <si>
    <t>OBJ210140</t>
  </si>
  <si>
    <t>zhotovenie sond na určenie skladby stropov pre potreby vyhotovenia statického projektu na realizáciu sanácie na požiarom poškodenej bytovke na Bratislavskej ul. č.38</t>
  </si>
  <si>
    <t>20210053</t>
  </si>
  <si>
    <t>paušalná odmena za 07/2021</t>
  </si>
  <si>
    <t>4790138665</t>
  </si>
  <si>
    <t>54321</t>
  </si>
  <si>
    <t>JUDr. Martin Hucík, súdny exekútor (Exekútorský úrad Liesek)</t>
  </si>
  <si>
    <t>41506839</t>
  </si>
  <si>
    <t>68019</t>
  </si>
  <si>
    <t>32730</t>
  </si>
  <si>
    <t>JUDr. Juraj Rácik, súdny exekútor (Exekútorský úrad Trnava 1)</t>
  </si>
  <si>
    <t>42164320</t>
  </si>
  <si>
    <t>56920</t>
  </si>
  <si>
    <t>JUDr. Milan Somík, súdny exekútor (Exekútorský úrad Martin)</t>
  </si>
  <si>
    <t>35662794</t>
  </si>
  <si>
    <t>55521</t>
  </si>
  <si>
    <t>210319</t>
  </si>
  <si>
    <t>spracovanie poštových poukazov  07/21</t>
  </si>
  <si>
    <t>210318</t>
  </si>
  <si>
    <t>refakt. teplo v BD Predmestká 07/21</t>
  </si>
  <si>
    <t>210320</t>
  </si>
  <si>
    <t>refakt. telefóny vo výťahoch v BD 07/21</t>
  </si>
  <si>
    <t>210326</t>
  </si>
  <si>
    <t>preddavky spotreby el.energie v BD Korzo 8435/33 a Petzvalova 8501/43A</t>
  </si>
  <si>
    <t>210325</t>
  </si>
  <si>
    <t>preddavky el.energia za BD a NP 08/21</t>
  </si>
  <si>
    <t>210322</t>
  </si>
  <si>
    <t>refakt. el.energia v BD Korzo 3405/1</t>
  </si>
  <si>
    <t>210321</t>
  </si>
  <si>
    <t>refakt. el.energia v BD Borová 43 a Bratislavská 8535/byt 6</t>
  </si>
  <si>
    <t>vyúčtovanie elektrickej energie  bunky za 07/21</t>
  </si>
  <si>
    <t>4539776058</t>
  </si>
  <si>
    <t>2145</t>
  </si>
  <si>
    <t>Holeš Miroslav, SAM-CO</t>
  </si>
  <si>
    <t>OBJ210142</t>
  </si>
  <si>
    <t>vypracovanie rozpočtu stavby: oprava bytového domu na Bratislavskej ulici č.38</t>
  </si>
  <si>
    <t>20210681</t>
  </si>
  <si>
    <t>2021048</t>
  </si>
  <si>
    <t>2021047</t>
  </si>
  <si>
    <t>23021046</t>
  </si>
  <si>
    <t>2021045</t>
  </si>
  <si>
    <t>2021044</t>
  </si>
  <si>
    <t>2021043</t>
  </si>
  <si>
    <t>2021042</t>
  </si>
  <si>
    <t>2021041</t>
  </si>
  <si>
    <t>2021039</t>
  </si>
  <si>
    <t>2021040</t>
  </si>
  <si>
    <t>čiastkové vyúčtovanie dodávok tepelnej energie 07/21</t>
  </si>
  <si>
    <t>19930721</t>
  </si>
  <si>
    <t>pretesnenie a vyčistenie blok ventilov na vykonávajúcej regulácií -Zimný štadión</t>
  </si>
  <si>
    <t>odstránenie poruchy na signalizácii kompresorov v riadiacom paneli -Zimný štadión</t>
  </si>
  <si>
    <t>DFZ210075</t>
  </si>
  <si>
    <t>20210032</t>
  </si>
  <si>
    <t>RAR SK s.r.o.</t>
  </si>
  <si>
    <t>47448768</t>
  </si>
  <si>
    <t>OBJ210126</t>
  </si>
  <si>
    <t>vytýčenie a namaľovanie kompletných čiar hokejového ihriska -betónová plocha ZŠ</t>
  </si>
  <si>
    <t>210333</t>
  </si>
  <si>
    <t>vyúčt. spotreby plynu Petzvalova ul.</t>
  </si>
  <si>
    <t>DF2100509</t>
  </si>
  <si>
    <t>DF2100510</t>
  </si>
  <si>
    <t>DF2100511</t>
  </si>
  <si>
    <t>DF2100512</t>
  </si>
  <si>
    <t>DF2100513</t>
  </si>
  <si>
    <t>12072021</t>
  </si>
  <si>
    <t>OBJ210144</t>
  </si>
  <si>
    <t>oprava bytovej jednotky Bratislavská 36</t>
  </si>
  <si>
    <t>5480850618</t>
  </si>
  <si>
    <t>6590978695</t>
  </si>
  <si>
    <t>210328</t>
  </si>
  <si>
    <t>upratovanie v priestoroch BD 07/21</t>
  </si>
  <si>
    <t>210329</t>
  </si>
  <si>
    <t>refakt.nákladov na teplo BD Korzo</t>
  </si>
  <si>
    <t>210332</t>
  </si>
  <si>
    <t>opravy a údržba v DB J.Hronca, Košická, Korzo, Petzvalova, Borová</t>
  </si>
  <si>
    <t>21120245</t>
  </si>
  <si>
    <t>Popl.za správu bytov: Timravy, Tulská, Minčolská, Bôrická cesta, Bajzová, Gabajová 08/21</t>
  </si>
  <si>
    <t>17202756</t>
  </si>
  <si>
    <t>oprava výťahu Segnerová 6</t>
  </si>
  <si>
    <t>oprava výťahu J.Hronca 1</t>
  </si>
  <si>
    <t>17202757</t>
  </si>
  <si>
    <t>210334</t>
  </si>
  <si>
    <t>montáž elektromera v BD Korzo 3399</t>
  </si>
  <si>
    <t>210335</t>
  </si>
  <si>
    <t xml:space="preserve">vyúčt. spotreby el.energie Petzvalová </t>
  </si>
  <si>
    <t>vyúčt. spotreby el.energie, zráž.vody, plynu v BD Košická 07/21</t>
  </si>
  <si>
    <t>210336</t>
  </si>
  <si>
    <t>montáž elektromera Bratislavská 46</t>
  </si>
  <si>
    <t>210337</t>
  </si>
  <si>
    <t>DF2100514</t>
  </si>
  <si>
    <t>DF2100515</t>
  </si>
  <si>
    <t>DF2100516</t>
  </si>
  <si>
    <t>DF2100517</t>
  </si>
  <si>
    <t>DF2100518</t>
  </si>
  <si>
    <t>DF2100519</t>
  </si>
  <si>
    <t>DF2100520</t>
  </si>
  <si>
    <t>DF2100521</t>
  </si>
  <si>
    <t>DF2100522</t>
  </si>
  <si>
    <t>DF2100523</t>
  </si>
  <si>
    <t>DF2100524</t>
  </si>
  <si>
    <t>DF2100525</t>
  </si>
  <si>
    <t>DF2100526</t>
  </si>
  <si>
    <t>63921</t>
  </si>
  <si>
    <t>JUDr. Miloš Kabáč, súdny exekútor</t>
  </si>
  <si>
    <t>42272912</t>
  </si>
  <si>
    <t>DFZ210076</t>
  </si>
  <si>
    <t>DFZ210077</t>
  </si>
  <si>
    <t>DFZ210078</t>
  </si>
  <si>
    <t>DFZ210079</t>
  </si>
  <si>
    <t>DFZ210080</t>
  </si>
  <si>
    <t>21200228</t>
  </si>
  <si>
    <t>OBJ210123</t>
  </si>
  <si>
    <t>zámena olejových čerpadiel K1 a K2</t>
  </si>
  <si>
    <t>DFH210030</t>
  </si>
  <si>
    <t>21110930</t>
  </si>
  <si>
    <t>Spoločnosť Kováč s.r.o.</t>
  </si>
  <si>
    <t>36326666</t>
  </si>
  <si>
    <t>OBJ210146</t>
  </si>
  <si>
    <t>Float 12 mm -ZŠ</t>
  </si>
  <si>
    <t>210352</t>
  </si>
  <si>
    <t>výkon správy ZŠ za 08/2021</t>
  </si>
  <si>
    <t>6062021</t>
  </si>
  <si>
    <t>A2B, s.r.o.</t>
  </si>
  <si>
    <t>36010057</t>
  </si>
  <si>
    <t>OBJ210120</t>
  </si>
  <si>
    <t>servisná prehliadka nýáhradného zdroja el.en.EZA P9B</t>
  </si>
  <si>
    <t>2108051</t>
  </si>
  <si>
    <t>MES-TECH s.r.o.</t>
  </si>
  <si>
    <t>50618351</t>
  </si>
  <si>
    <t>OBJ210143</t>
  </si>
  <si>
    <t>mechanická upchávka pre čerpadlo v tréningovej hale ZŠ</t>
  </si>
  <si>
    <t>0898560495</t>
  </si>
  <si>
    <t>5813342861</t>
  </si>
  <si>
    <t>2751033404</t>
  </si>
  <si>
    <t>2079549578</t>
  </si>
  <si>
    <t>19932103</t>
  </si>
  <si>
    <t>199302210</t>
  </si>
  <si>
    <t>19932104</t>
  </si>
  <si>
    <t>19932105</t>
  </si>
  <si>
    <t>19932106</t>
  </si>
  <si>
    <t>19932107</t>
  </si>
  <si>
    <t>19932108</t>
  </si>
  <si>
    <t>199303210</t>
  </si>
  <si>
    <t>199301210</t>
  </si>
  <si>
    <t>199305210</t>
  </si>
  <si>
    <t>199307210</t>
  </si>
  <si>
    <t>DF2100527</t>
  </si>
  <si>
    <t>DF2100528</t>
  </si>
  <si>
    <t>DF2100529</t>
  </si>
  <si>
    <t>DF2100530</t>
  </si>
  <si>
    <t>DF2100531</t>
  </si>
  <si>
    <t>DF2100532</t>
  </si>
  <si>
    <t>DF2100533</t>
  </si>
  <si>
    <t>DF2100534</t>
  </si>
  <si>
    <t>DF2100535</t>
  </si>
  <si>
    <t>DF2100536</t>
  </si>
  <si>
    <t>DF2100537</t>
  </si>
  <si>
    <t>DF2100538</t>
  </si>
  <si>
    <t>DF2100539</t>
  </si>
  <si>
    <t>DF2100540</t>
  </si>
  <si>
    <t>DF2100541</t>
  </si>
  <si>
    <t>DF2100542</t>
  </si>
  <si>
    <t>642021</t>
  </si>
  <si>
    <t>znalecký posudok na stanovenie hodnoty bytu na ul.Tulská</t>
  </si>
  <si>
    <t>OBJ210139</t>
  </si>
  <si>
    <t>210345</t>
  </si>
  <si>
    <t>správa bytov a nebyt.priestorov, vedenie účtov kúpnych zmlúv 08/21</t>
  </si>
  <si>
    <t>210356</t>
  </si>
  <si>
    <t>210357</t>
  </si>
  <si>
    <t>oprava a údržba školských zariadení: CVČ a ZUŠ 08/21</t>
  </si>
  <si>
    <t>oprava a údržba školských zariadení:  ZŠ 08/2021</t>
  </si>
  <si>
    <t>oprava a údržba školských zariadení:  MŠ 08/2021</t>
  </si>
  <si>
    <t>210351</t>
  </si>
  <si>
    <t>správa NP -školské zariadenia CVČ a ZUŠ 08/21</t>
  </si>
  <si>
    <t>210350</t>
  </si>
  <si>
    <t>správa NP -školské zariadenia ZŠ 08/21</t>
  </si>
  <si>
    <t>210349</t>
  </si>
  <si>
    <t>správa NP -školské zariadenia MŠ 08/21</t>
  </si>
  <si>
    <t>210348</t>
  </si>
  <si>
    <t>správa NP -CO kryty 08/21</t>
  </si>
  <si>
    <t>20210730</t>
  </si>
  <si>
    <t>služby VTZ 08/21</t>
  </si>
  <si>
    <t>DF2100543</t>
  </si>
  <si>
    <t>DF2100544</t>
  </si>
  <si>
    <t>DF2100545</t>
  </si>
  <si>
    <t>DF2100546</t>
  </si>
  <si>
    <t>DF2100547</t>
  </si>
  <si>
    <t>DF2100548</t>
  </si>
  <si>
    <t>DF2100549</t>
  </si>
  <si>
    <t>DF2100550</t>
  </si>
  <si>
    <t>DF2100551</t>
  </si>
  <si>
    <t>DF2100552</t>
  </si>
  <si>
    <t>DF2100553</t>
  </si>
  <si>
    <t>DF2100554</t>
  </si>
  <si>
    <t>DFH210031</t>
  </si>
  <si>
    <t>DFH210032</t>
  </si>
  <si>
    <t>DFZ210081</t>
  </si>
  <si>
    <t>DFZ210082</t>
  </si>
  <si>
    <t>DFZ210083</t>
  </si>
  <si>
    <t>DFZ210084</t>
  </si>
  <si>
    <t>DFZ210085</t>
  </si>
  <si>
    <t>20210057</t>
  </si>
  <si>
    <t>paušalná odmena za 08/2021</t>
  </si>
  <si>
    <t>17202911</t>
  </si>
  <si>
    <t>17202910</t>
  </si>
  <si>
    <t>17202909</t>
  </si>
  <si>
    <t>17202908</t>
  </si>
  <si>
    <t>17202907</t>
  </si>
  <si>
    <t>17202906</t>
  </si>
  <si>
    <t>17202859</t>
  </si>
  <si>
    <t>17202852</t>
  </si>
  <si>
    <t>17202858</t>
  </si>
  <si>
    <t>17202857</t>
  </si>
  <si>
    <t>17202856</t>
  </si>
  <si>
    <t>17202855</t>
  </si>
  <si>
    <t>17202854</t>
  </si>
  <si>
    <t>17202853</t>
  </si>
  <si>
    <t>15219507</t>
  </si>
  <si>
    <t>servis výťahov za 08/21</t>
  </si>
  <si>
    <t>20210792</t>
  </si>
  <si>
    <t>4539776059</t>
  </si>
  <si>
    <t>vyúčtovanie elektrickej energie  bunky za 08/21</t>
  </si>
  <si>
    <t>210366</t>
  </si>
  <si>
    <t>predd.vodné, stočné v BD a NP 08/21</t>
  </si>
  <si>
    <t>210367</t>
  </si>
  <si>
    <t>predd.vodné, stočné v BD a NP 09/21</t>
  </si>
  <si>
    <t>210363</t>
  </si>
  <si>
    <t>predd.spotreby plynu 09/21</t>
  </si>
  <si>
    <t>210370</t>
  </si>
  <si>
    <t>210359</t>
  </si>
  <si>
    <t>vyúčt.spotreby plynu Kempelenova 3401/41</t>
  </si>
  <si>
    <t>vyúčt.spotreby tepla BD Predmestská 08/21</t>
  </si>
  <si>
    <t>210360</t>
  </si>
  <si>
    <t>refakt.spotreby plynu Korzo 3405/1</t>
  </si>
  <si>
    <t>9166523093</t>
  </si>
  <si>
    <t>4808493698</t>
  </si>
  <si>
    <t>2001003967</t>
  </si>
  <si>
    <t>210353</t>
  </si>
  <si>
    <t>výkon správy .ZŠ Hollého 66  za  08/2021</t>
  </si>
  <si>
    <t>210364</t>
  </si>
  <si>
    <t>preddavok el. energia 09/2021-  Hollého</t>
  </si>
  <si>
    <t>210368</t>
  </si>
  <si>
    <t>preddavok plyn 09/2021 areál Hollého</t>
  </si>
  <si>
    <t>4702590821</t>
  </si>
  <si>
    <t>teplo zimný štadión   08/2021</t>
  </si>
  <si>
    <t>2021064</t>
  </si>
  <si>
    <t>diaľkový dozor výmenníková stanica  - ZŠ 09/2021</t>
  </si>
  <si>
    <t>210358</t>
  </si>
  <si>
    <t>pripojenie objektu zimného štadióna k sieti SRP 09/2021</t>
  </si>
  <si>
    <t>4584080014</t>
  </si>
  <si>
    <t>elektrická energia 08/2021 zimný štadion</t>
  </si>
  <si>
    <t>3211057847</t>
  </si>
  <si>
    <t>vodné, zimný štadión  HK   08/2021</t>
  </si>
  <si>
    <t xml:space="preserve">súdny poplatok </t>
  </si>
  <si>
    <t xml:space="preserve">náhrady trov právneho zastúpenia </t>
  </si>
  <si>
    <t xml:space="preserve">podanie návrhu na OS </t>
  </si>
  <si>
    <t>trovy exekúcie -zastavené konanie</t>
  </si>
  <si>
    <t>náhrada trov právneho zastupovania</t>
  </si>
  <si>
    <t>náhrada výdavkov, zastavenie exekučného konania</t>
  </si>
  <si>
    <t xml:space="preserve">trovy právneho zastupovania </t>
  </si>
  <si>
    <t>trovy exekúcie - zastavenie exekúcie</t>
  </si>
  <si>
    <t xml:space="preserve">trovy exekúcie - zastavenie exekúcie </t>
  </si>
  <si>
    <t>trovy exekucie -zrušenie exekúcie</t>
  </si>
  <si>
    <t xml:space="preserve">úhrada paušálnych výdavkov, zastavenie exekúcie </t>
  </si>
  <si>
    <t xml:space="preserve">náhrada výdavkov, zastavenie exekučného konania </t>
  </si>
  <si>
    <t xml:space="preserve">trovy exekučného konania, zastavenie exekúcie </t>
  </si>
  <si>
    <t>upovedomenie o zastavení starej exekúcie, výzvy na úhradu trov starej ex.</t>
  </si>
  <si>
    <t xml:space="preserve">zastavenie exekúcie -náhrada výdavkov </t>
  </si>
  <si>
    <t>DF2100555</t>
  </si>
  <si>
    <t>DF2100556</t>
  </si>
  <si>
    <t>DF2100557</t>
  </si>
  <si>
    <t>DF2100558</t>
  </si>
  <si>
    <t>DF2100559</t>
  </si>
  <si>
    <t>DF2100560</t>
  </si>
  <si>
    <t>DF2100561</t>
  </si>
  <si>
    <t>DFZ210086</t>
  </si>
  <si>
    <t>DFH210033</t>
  </si>
  <si>
    <t>OBJ210124</t>
  </si>
  <si>
    <t>OBJ210091</t>
  </si>
  <si>
    <t>OBJ210113</t>
  </si>
  <si>
    <t>OBJ210049</t>
  </si>
  <si>
    <t>OBJ210061</t>
  </si>
  <si>
    <t>OBJ210060</t>
  </si>
  <si>
    <t>OBJ210047</t>
  </si>
  <si>
    <t>OBJ210048</t>
  </si>
  <si>
    <t>OBJ210118</t>
  </si>
  <si>
    <t>Poznámka</t>
  </si>
  <si>
    <t>OBJ210117</t>
  </si>
  <si>
    <t>OBJ210054</t>
  </si>
  <si>
    <t>OBJ210111</t>
  </si>
  <si>
    <t>OBJ210110</t>
  </si>
  <si>
    <t>OBJ210104</t>
  </si>
  <si>
    <t>OBJ210024</t>
  </si>
  <si>
    <t>výmena spodného pántu byt č. 26, oprava faktúry 0320201</t>
  </si>
  <si>
    <t>OBJ210114</t>
  </si>
  <si>
    <t>OBJ210136</t>
  </si>
  <si>
    <t>OBJ210115</t>
  </si>
  <si>
    <t>19932101</t>
  </si>
  <si>
    <t>import VRT-ZAL-1-1993-TEP</t>
  </si>
  <si>
    <t>Číslo dokladu</t>
  </si>
  <si>
    <t>Dátum</t>
  </si>
  <si>
    <t>DF2100562</t>
  </si>
  <si>
    <t>DF2100563</t>
  </si>
  <si>
    <t>DF2100564</t>
  </si>
  <si>
    <t>JUDr. Martin Píry</t>
  </si>
  <si>
    <t>42219957</t>
  </si>
  <si>
    <t>vrátený súdny poplatok</t>
  </si>
  <si>
    <t>1993</t>
  </si>
  <si>
    <t>predd.tepelná energia v BD 10/21</t>
  </si>
  <si>
    <t>17202945</t>
  </si>
  <si>
    <t xml:space="preserve">dodanie knihy kontrol výťahov </t>
  </si>
  <si>
    <t>import VRT-ZAL-2-1993-TEP, zaloha na teplo</t>
  </si>
  <si>
    <t>import VRT-2-1993, vyúčt.dodávky tepla</t>
  </si>
  <si>
    <t>import VRT-ZAL-3-1993-TEP, záloha na teplo</t>
  </si>
  <si>
    <t>import VRT-ZAL-4-1993-TEP, záloha na teplo</t>
  </si>
  <si>
    <t>import VRT-ZAL-5-1993-TEP, záloha na teplo</t>
  </si>
  <si>
    <t>import VRT-ZAL-6-1993-TEP, záloha na teplo</t>
  </si>
  <si>
    <t>import VRT-ZAL-7-1993-TEP, záloha na teplo</t>
  </si>
  <si>
    <t>import VRT-ZAL-8-1993-TEP, záloha na teplo</t>
  </si>
  <si>
    <t>import VRT-3-1993, vyúčt.dodávky tepla</t>
  </si>
  <si>
    <t>import VRT-1-1993, vyúčt.dodávky tepla</t>
  </si>
  <si>
    <t>import VRT-4-1993, vyúčt.dodávky tepla</t>
  </si>
  <si>
    <t>import VRT-5-1993, vyúčt.dodávky tepla</t>
  </si>
  <si>
    <t>import VRT-6-1993, vyúčt.dodávky tepla</t>
  </si>
  <si>
    <t>import VRT-7-1993, vyúčt.dodávky tepla</t>
  </si>
  <si>
    <t>210381</t>
  </si>
  <si>
    <t>upratovanie v priestoroch BD 08/21</t>
  </si>
  <si>
    <t>210371</t>
  </si>
  <si>
    <t>spracovanie poštových poukazov 08/21</t>
  </si>
  <si>
    <t>210372</t>
  </si>
  <si>
    <t>refakt. telefóny vo výťahoch v BD 08/21</t>
  </si>
  <si>
    <t>210373</t>
  </si>
  <si>
    <t>vyúčt.el.energie ul.Borová, Bratislavská</t>
  </si>
  <si>
    <t>210378</t>
  </si>
  <si>
    <t>opravy a údržba v bytových domoch</t>
  </si>
  <si>
    <t>OBJ210141</t>
  </si>
  <si>
    <t>199308210</t>
  </si>
  <si>
    <t>vyúčt.dodávok tepla 08/21</t>
  </si>
  <si>
    <t>210382</t>
  </si>
  <si>
    <t>vyúčt.el.energie ul.Kempelenova</t>
  </si>
  <si>
    <t>DF2100565</t>
  </si>
  <si>
    <t>DF2100566</t>
  </si>
  <si>
    <t>DF2100567</t>
  </si>
  <si>
    <t>DF2100568</t>
  </si>
  <si>
    <t>1952748943</t>
  </si>
  <si>
    <t>7396510492</t>
  </si>
  <si>
    <t>21100022</t>
  </si>
  <si>
    <t>pravidelná technická prehliadka automatického parkovacieho systému:Hájik za 3.Q/21</t>
  </si>
  <si>
    <t>21120286</t>
  </si>
  <si>
    <t>Popl.za správu bytov: Timravy, Tulská, Minčolská, Bôrická cesta, Bajzová, Gabajová 09/21</t>
  </si>
  <si>
    <t>DFZ210087</t>
  </si>
  <si>
    <t>DFZ210088</t>
  </si>
  <si>
    <t>20210744</t>
  </si>
  <si>
    <t>služby VTZ 09/21</t>
  </si>
  <si>
    <t>20210041</t>
  </si>
  <si>
    <t>OBJ210149</t>
  </si>
  <si>
    <t>namaľovanie kompletných čiar hokejového ihriska -ľadová plocha ZŠ</t>
  </si>
  <si>
    <t>972021</t>
  </si>
  <si>
    <t>OBJ210150</t>
  </si>
  <si>
    <t>servisné práce na strojovni chladenia</t>
  </si>
  <si>
    <t>DFH210034</t>
  </si>
  <si>
    <t>210377</t>
  </si>
  <si>
    <t xml:space="preserve">oprava železnej brány -vjazd do areálu ul.Hollého </t>
  </si>
  <si>
    <t>210384</t>
  </si>
  <si>
    <t>VOBŽ21158</t>
  </si>
  <si>
    <t>čistiace potreby -areál ul.Hollého</t>
  </si>
  <si>
    <t>DFZ210089</t>
  </si>
  <si>
    <t>DFZ210090</t>
  </si>
  <si>
    <t>DFZ210091</t>
  </si>
  <si>
    <t>DFZ210092</t>
  </si>
  <si>
    <t>210401</t>
  </si>
  <si>
    <t>výkon správy ZŠ za 09/2021</t>
  </si>
  <si>
    <t>10210442</t>
  </si>
  <si>
    <t>OBJ210151</t>
  </si>
  <si>
    <t>výmena tesnení na prívode pary a spiatočke na odvlhčovacej jednotke -trening.hala ZŠ</t>
  </si>
  <si>
    <t>2021067</t>
  </si>
  <si>
    <t>diaľkový dozor výmenníková stanica  - ZŠ 10/2021</t>
  </si>
  <si>
    <t>3211064921</t>
  </si>
  <si>
    <t>vodné, zimný štadión  HK   09/2021</t>
  </si>
  <si>
    <t>DFH210035</t>
  </si>
  <si>
    <t>DFH210036</t>
  </si>
  <si>
    <t>210402</t>
  </si>
  <si>
    <t>výkon správy .ZŠ Hollého 66  za  09/2021</t>
  </si>
  <si>
    <t>210407</t>
  </si>
  <si>
    <t>DF2100569</t>
  </si>
  <si>
    <t>DF2100570</t>
  </si>
  <si>
    <t>DF2100571</t>
  </si>
  <si>
    <t>DF2100572</t>
  </si>
  <si>
    <t>DF2100573</t>
  </si>
  <si>
    <t>DF2100574</t>
  </si>
  <si>
    <t>DF2100575</t>
  </si>
  <si>
    <t>DF2100576</t>
  </si>
  <si>
    <t>DF2100577</t>
  </si>
  <si>
    <t>DF2100578</t>
  </si>
  <si>
    <t>DF2100579</t>
  </si>
  <si>
    <t>DF2100580</t>
  </si>
  <si>
    <t>DF2100581</t>
  </si>
  <si>
    <t>DF2100582</t>
  </si>
  <si>
    <t>DF2100583</t>
  </si>
  <si>
    <t>DF2100584</t>
  </si>
  <si>
    <t>DF2100585</t>
  </si>
  <si>
    <t>DF2100586</t>
  </si>
  <si>
    <t>DF2100587</t>
  </si>
  <si>
    <t>DF2100588</t>
  </si>
  <si>
    <t>DF2100589</t>
  </si>
  <si>
    <t>DF2100590</t>
  </si>
  <si>
    <t>DF2100591</t>
  </si>
  <si>
    <t>DF2100592</t>
  </si>
  <si>
    <t>DF2100593</t>
  </si>
  <si>
    <t>DF2100594</t>
  </si>
  <si>
    <t>DF2100595</t>
  </si>
  <si>
    <t>DF2100596</t>
  </si>
  <si>
    <t>DF2100597</t>
  </si>
  <si>
    <t>DF2100598</t>
  </si>
  <si>
    <t>DF2100599</t>
  </si>
  <si>
    <t>DF2100600</t>
  </si>
  <si>
    <t>210383</t>
  </si>
  <si>
    <t>2887810790</t>
  </si>
  <si>
    <t>20210434</t>
  </si>
  <si>
    <t>OBJ210152</t>
  </si>
  <si>
    <t>kontrola hasiacich prístrojov, požiarnych rozvodov, tlaková skúška, záznamy / protokol</t>
  </si>
  <si>
    <t>15220004</t>
  </si>
  <si>
    <t>servis výťahov za 09/21</t>
  </si>
  <si>
    <t>210394</t>
  </si>
  <si>
    <t>správa bytov a nebyt.priestorov, vedenie účtov kúpnych zmlúv 09/21</t>
  </si>
  <si>
    <t>210397</t>
  </si>
  <si>
    <t>správa NP -CO kryty 09/21</t>
  </si>
  <si>
    <t>210398</t>
  </si>
  <si>
    <t>správa NP -školské zariadenia MŠ 09/21</t>
  </si>
  <si>
    <t>210399</t>
  </si>
  <si>
    <t>správa NP -školské zariadenia ZŠ 09/21</t>
  </si>
  <si>
    <t>210400</t>
  </si>
  <si>
    <t>správa NP -školské zariadenia CVČ a ZUŠ 09/21</t>
  </si>
  <si>
    <t>210404</t>
  </si>
  <si>
    <t>oprava a údržba školských zariadení:  MŠ 09/2021</t>
  </si>
  <si>
    <t>210405</t>
  </si>
  <si>
    <t>oprava a údržba školských zariadení:  ZŠ 09/2021</t>
  </si>
  <si>
    <t>210406</t>
  </si>
  <si>
    <t>oprava a údržba školských zariadení: CVČ a ZUŠ 09/21</t>
  </si>
  <si>
    <t>210387</t>
  </si>
  <si>
    <t>preddavky spotreby plynu v BD a NP 09/21</t>
  </si>
  <si>
    <t>210385</t>
  </si>
  <si>
    <t>zrážková voda v BD Košická 08/21</t>
  </si>
  <si>
    <t>210386</t>
  </si>
  <si>
    <t>preddavky el.energie v BD a NP 09/21</t>
  </si>
  <si>
    <t>17203074</t>
  </si>
  <si>
    <t>17203075</t>
  </si>
  <si>
    <t>3018771935</t>
  </si>
  <si>
    <t>paušalná odmena za 09/2021</t>
  </si>
  <si>
    <t>210411</t>
  </si>
  <si>
    <t>montáž elektromera, pripojovací poplatok</t>
  </si>
  <si>
    <t>210413</t>
  </si>
  <si>
    <t>vyúčt.spotreby plynu Petzvalova</t>
  </si>
  <si>
    <t>210412</t>
  </si>
  <si>
    <t>predd.spotreby plynu 10/21</t>
  </si>
  <si>
    <t>20210854</t>
  </si>
  <si>
    <t>210418</t>
  </si>
  <si>
    <t>vyúčt.spotreby plynu Kempelenova, Petzvalova</t>
  </si>
  <si>
    <t>210416</t>
  </si>
  <si>
    <t>vyúčt.spotreby el.energie Borová</t>
  </si>
  <si>
    <t>20210906</t>
  </si>
  <si>
    <t>monitoring prevádzkových stavov plynovej kotolne Horný Val za 09/21</t>
  </si>
  <si>
    <t>4539776060</t>
  </si>
  <si>
    <t>vyúčtovanie elektrickej energie  bunky za 09/21</t>
  </si>
  <si>
    <t>210417</t>
  </si>
  <si>
    <t>spracovanie poštových poukazov  09/21</t>
  </si>
  <si>
    <t>DF2100601</t>
  </si>
  <si>
    <t>DF2100602</t>
  </si>
  <si>
    <t>DF2100603</t>
  </si>
  <si>
    <t>DF2100604</t>
  </si>
  <si>
    <t>DF2100605</t>
  </si>
  <si>
    <t>DF2100606</t>
  </si>
  <si>
    <t>DF2100607</t>
  </si>
  <si>
    <t>DF2100608</t>
  </si>
  <si>
    <t>DF2100609</t>
  </si>
  <si>
    <t>DF2100610</t>
  </si>
  <si>
    <t>DF2100611</t>
  </si>
  <si>
    <t>DF2100612</t>
  </si>
  <si>
    <t>DF2100613</t>
  </si>
  <si>
    <t>DF2100614</t>
  </si>
  <si>
    <t>DF2100615</t>
  </si>
  <si>
    <t>DF2100616</t>
  </si>
  <si>
    <t>DF2100617</t>
  </si>
  <si>
    <t>DF2100618</t>
  </si>
  <si>
    <t>DF2100619</t>
  </si>
  <si>
    <t>DF2100620</t>
  </si>
  <si>
    <t>DF2100621</t>
  </si>
  <si>
    <t>210419</t>
  </si>
  <si>
    <t>46723995</t>
  </si>
  <si>
    <t>46723996</t>
  </si>
  <si>
    <t>vyúčt.spotreby el.energie Bratislavská, Korzo</t>
  </si>
  <si>
    <t>46723997</t>
  </si>
  <si>
    <t>210420</t>
  </si>
  <si>
    <t>refakt. telefóny vo výťahoch v BD 09/21</t>
  </si>
  <si>
    <t>210421</t>
  </si>
  <si>
    <t>vyúčt.spotreby plynu Predmestská</t>
  </si>
  <si>
    <t>8693337308</t>
  </si>
  <si>
    <t>4802050163</t>
  </si>
  <si>
    <t>4861770289</t>
  </si>
  <si>
    <t>3382170029</t>
  </si>
  <si>
    <t>2021051</t>
  </si>
  <si>
    <t>OBJ210155</t>
  </si>
  <si>
    <t>2021053</t>
  </si>
  <si>
    <t>2021054</t>
  </si>
  <si>
    <t>2021055</t>
  </si>
  <si>
    <t>2021056</t>
  </si>
  <si>
    <t>2021057</t>
  </si>
  <si>
    <t>2021059</t>
  </si>
  <si>
    <t>2021060</t>
  </si>
  <si>
    <t>2021061</t>
  </si>
  <si>
    <t>2021062</t>
  </si>
  <si>
    <t>1238479511</t>
  </si>
  <si>
    <t>3081097846</t>
  </si>
  <si>
    <t>3535010296</t>
  </si>
  <si>
    <t>DF2100622</t>
  </si>
  <si>
    <t>DF2100623</t>
  </si>
  <si>
    <t>DF2100624</t>
  </si>
  <si>
    <t>DF2100625</t>
  </si>
  <si>
    <t>DF2100626</t>
  </si>
  <si>
    <t>DF2100627</t>
  </si>
  <si>
    <t>DF2100628</t>
  </si>
  <si>
    <t>DF2100629</t>
  </si>
  <si>
    <t>DF2100630</t>
  </si>
  <si>
    <t>3510826989</t>
  </si>
  <si>
    <t>9695092374</t>
  </si>
  <si>
    <t>5066030817</t>
  </si>
  <si>
    <t>2315587580</t>
  </si>
  <si>
    <t>7913207283</t>
  </si>
  <si>
    <t>9468411112</t>
  </si>
  <si>
    <t>5592493190</t>
  </si>
  <si>
    <t>7937390594</t>
  </si>
  <si>
    <t>1764941892</t>
  </si>
  <si>
    <t>21120325</t>
  </si>
  <si>
    <t>Popl.za správu bytov: Timravy, Tulská, Minčolská, Bôrická cesta, Bajzová, Gabajová 10/21</t>
  </si>
  <si>
    <t>2102021</t>
  </si>
  <si>
    <t>AAT-STAVBY, s.r.o.</t>
  </si>
  <si>
    <t>53799101</t>
  </si>
  <si>
    <t>OBJ210156</t>
  </si>
  <si>
    <t>oprava havarijného stavu na balkónoch</t>
  </si>
  <si>
    <t>DFZ210093</t>
  </si>
  <si>
    <t>DFZ210094</t>
  </si>
  <si>
    <t>20210457</t>
  </si>
  <si>
    <t>výkon technika PO 7-9/21 obj. Horný Val 24</t>
  </si>
  <si>
    <t>4584080015</t>
  </si>
  <si>
    <t>elektrická energia 09/2021 zimný štadion</t>
  </si>
  <si>
    <t>4702590921</t>
  </si>
  <si>
    <t>teplo zimný štadión   09/2021</t>
  </si>
  <si>
    <t>DFZ210095</t>
  </si>
  <si>
    <t>DFZ210096</t>
  </si>
  <si>
    <t>DFZ210097</t>
  </si>
  <si>
    <t>DFZ210098</t>
  </si>
  <si>
    <t>DFZ210099</t>
  </si>
  <si>
    <t>DFZ210100</t>
  </si>
  <si>
    <t>210414</t>
  </si>
  <si>
    <t>prenájom  rolby obdobie 7-9/2021</t>
  </si>
  <si>
    <t>10211482</t>
  </si>
  <si>
    <t>LIFTTEC, s.r.o.</t>
  </si>
  <si>
    <t>46145885</t>
  </si>
  <si>
    <t>OBJ210148</t>
  </si>
  <si>
    <t>prenájom montážnej plošiny</t>
  </si>
  <si>
    <t>210431</t>
  </si>
  <si>
    <t>vodoinštalačný materiál</t>
  </si>
  <si>
    <t>210430</t>
  </si>
  <si>
    <t>výmena svietidiel</t>
  </si>
  <si>
    <t>210454</t>
  </si>
  <si>
    <t>výkon správy ZŠ za 10/2021</t>
  </si>
  <si>
    <t>20210480</t>
  </si>
  <si>
    <t>OBJ210153</t>
  </si>
  <si>
    <t>čerpadlo</t>
  </si>
  <si>
    <t>DF2100631</t>
  </si>
  <si>
    <t>DF2100632</t>
  </si>
  <si>
    <t>DF2100633</t>
  </si>
  <si>
    <t>DF2100634</t>
  </si>
  <si>
    <t>DF2100635</t>
  </si>
  <si>
    <t>DF2100636</t>
  </si>
  <si>
    <t>DF2100637</t>
  </si>
  <si>
    <t>DF2100638</t>
  </si>
  <si>
    <t>DF2100639</t>
  </si>
  <si>
    <t>DF2100640</t>
  </si>
  <si>
    <t>DF2100641</t>
  </si>
  <si>
    <t>DF2100642</t>
  </si>
  <si>
    <t>DF2100643</t>
  </si>
  <si>
    <t>DF2100644</t>
  </si>
  <si>
    <t>DF2100645</t>
  </si>
  <si>
    <t>DF2100646</t>
  </si>
  <si>
    <t>DF2100647</t>
  </si>
  <si>
    <t>DF2100648</t>
  </si>
  <si>
    <t>DF2100649</t>
  </si>
  <si>
    <t>DF2100650</t>
  </si>
  <si>
    <t>DF2100651</t>
  </si>
  <si>
    <t>DF2100652</t>
  </si>
  <si>
    <t>DF2100653</t>
  </si>
  <si>
    <t>DF2100654</t>
  </si>
  <si>
    <t>210422</t>
  </si>
  <si>
    <t>vyúčt.spotreby plynu J.Hronca, Korzo</t>
  </si>
  <si>
    <t>210423</t>
  </si>
  <si>
    <t>upratovanie v priestoroch BD 09/21</t>
  </si>
  <si>
    <t>210425</t>
  </si>
  <si>
    <t>vodné, stočné a prevádzka rozvodných sietí a kanalizácií ul.Košická 3.Q/21</t>
  </si>
  <si>
    <t>210426</t>
  </si>
  <si>
    <t>montáž elektromera</t>
  </si>
  <si>
    <t>210429</t>
  </si>
  <si>
    <t>opravy: maľovanie, vodoinštalačné + kúrenárske práce, elektroinštalačné práce, opravy obkladov v bytových domoch Jedlíkova, Kempelenova, Korzo, Petzvalova</t>
  </si>
  <si>
    <t>210427</t>
  </si>
  <si>
    <t>materiál na opravu a údržbu v BD:Korzo, J.Hronca</t>
  </si>
  <si>
    <t>210433</t>
  </si>
  <si>
    <t>refakt.elektrická energia, zrážková voda, plyn BD ul.Košická 09/21</t>
  </si>
  <si>
    <t>199309210</t>
  </si>
  <si>
    <t>vyúčt.dodávok tepla 09/21</t>
  </si>
  <si>
    <t>15220788</t>
  </si>
  <si>
    <t>210450</t>
  </si>
  <si>
    <t>správa NP -CO kryty 10/21</t>
  </si>
  <si>
    <t>210451</t>
  </si>
  <si>
    <t>210452</t>
  </si>
  <si>
    <t>správa NP -školské zariadenia ZŠ 10/21</t>
  </si>
  <si>
    <t>správa NP -školské zariadenia MŠ 10/21</t>
  </si>
  <si>
    <t>210453</t>
  </si>
  <si>
    <t>správa NP -školské zariadenia CVČ a ZUŠ 10/21</t>
  </si>
  <si>
    <t>210457</t>
  </si>
  <si>
    <t>oprava a údržba školských zariadení:  MŠ 10/2021</t>
  </si>
  <si>
    <t>210458</t>
  </si>
  <si>
    <t>oprava a údržba školských zariadení:  ZŠ 10/2021</t>
  </si>
  <si>
    <t>210459</t>
  </si>
  <si>
    <t>oprava a údržba školských zariadení: CVČ a ZUŠ 10/21</t>
  </si>
  <si>
    <t>210447</t>
  </si>
  <si>
    <t>správa bytov a nebyt.priestorov, vedenie účtov kúpnych zmlúv 10/21</t>
  </si>
  <si>
    <t>210437</t>
  </si>
  <si>
    <t>preddavky el.energie v BD a NP 10/21</t>
  </si>
  <si>
    <t>210438</t>
  </si>
  <si>
    <t>pripojovacie poplatky</t>
  </si>
  <si>
    <t>7729035936</t>
  </si>
  <si>
    <t>8830461524</t>
  </si>
  <si>
    <t>6559668774</t>
  </si>
  <si>
    <t>DFH210037</t>
  </si>
  <si>
    <t>DFH210038</t>
  </si>
  <si>
    <t>210455</t>
  </si>
  <si>
    <t>210435</t>
  </si>
  <si>
    <t>preddavok el. energia 10/2021-  Hollého</t>
  </si>
  <si>
    <t>výkon správy .ZŠ Hollého 66  za  10/2021</t>
  </si>
  <si>
    <t>DF2100655</t>
  </si>
  <si>
    <t>DF2100656</t>
  </si>
  <si>
    <t>DF2100657</t>
  </si>
  <si>
    <t>DF2100658</t>
  </si>
  <si>
    <t>DF2100659</t>
  </si>
  <si>
    <t>DF2100660</t>
  </si>
  <si>
    <t>DF2100661</t>
  </si>
  <si>
    <t>DF2100662</t>
  </si>
  <si>
    <t>DF2100663</t>
  </si>
  <si>
    <t>DF2100664</t>
  </si>
  <si>
    <t>DF2100665</t>
  </si>
  <si>
    <t>DF2100666</t>
  </si>
  <si>
    <t>DF2100667</t>
  </si>
  <si>
    <t>DF2100668</t>
  </si>
  <si>
    <t>DF2100669</t>
  </si>
  <si>
    <t>DF2100670</t>
  </si>
  <si>
    <t>DF2100671</t>
  </si>
  <si>
    <t>DF2100672</t>
  </si>
  <si>
    <t>DF2100673</t>
  </si>
  <si>
    <t>DF2100674</t>
  </si>
  <si>
    <t>DF2100675</t>
  </si>
  <si>
    <t>DF2100676</t>
  </si>
  <si>
    <t>DF2100677</t>
  </si>
  <si>
    <t>DF2100678</t>
  </si>
  <si>
    <t>DF2100679</t>
  </si>
  <si>
    <t>DF2100680</t>
  </si>
  <si>
    <t>DF2100681</t>
  </si>
  <si>
    <t>DF2100682</t>
  </si>
  <si>
    <t>DF2100683</t>
  </si>
  <si>
    <t>DF2100684</t>
  </si>
  <si>
    <t>DF2100685</t>
  </si>
  <si>
    <t>DF2100686</t>
  </si>
  <si>
    <t>DF2100687</t>
  </si>
  <si>
    <t>DFH210039</t>
  </si>
  <si>
    <t>DFH210040</t>
  </si>
  <si>
    <t>DFH210041</t>
  </si>
  <si>
    <t>DFZ210101</t>
  </si>
  <si>
    <t>DFZ210102</t>
  </si>
  <si>
    <t>DFZ210103</t>
  </si>
  <si>
    <t>DFZ210104</t>
  </si>
  <si>
    <t>DFZ210105</t>
  </si>
  <si>
    <t>DFZ210106</t>
  </si>
  <si>
    <t>DFZ210107</t>
  </si>
  <si>
    <t>210466</t>
  </si>
  <si>
    <t>preddavok el. energia 11/2021-  Hollého</t>
  </si>
  <si>
    <t>210461</t>
  </si>
  <si>
    <t>preddavok plyn 11/2021 areál Hollého</t>
  </si>
  <si>
    <t>2021104</t>
  </si>
  <si>
    <t>Ceniga Vladimír</t>
  </si>
  <si>
    <t>35433809</t>
  </si>
  <si>
    <t>OBJ210005</t>
  </si>
  <si>
    <t>odstránenie havarijného stavu zatekajúcej strechy v areáli ZŠ Hollého -telocvičňa</t>
  </si>
  <si>
    <t>21200299</t>
  </si>
  <si>
    <t>OBJ210147</t>
  </si>
  <si>
    <t>dodávka a výmena čerpadla</t>
  </si>
  <si>
    <t>3211076255</t>
  </si>
  <si>
    <t>vodné, zimný štadión  HK   10/2021</t>
  </si>
  <si>
    <t>210460</t>
  </si>
  <si>
    <t>pripojenie objektu zimného štadióna k sieti SRP 10-11/2021</t>
  </si>
  <si>
    <t>4584080016</t>
  </si>
  <si>
    <t>elektrická energia 10/2021 zimný štadion</t>
  </si>
  <si>
    <t>2021074</t>
  </si>
  <si>
    <t>diaľkový dozor výmenníková stanica  - ZŠ 11/2021</t>
  </si>
  <si>
    <t>4702591021</t>
  </si>
  <si>
    <t>teplo zimný štadión   10/2021</t>
  </si>
  <si>
    <t>210914</t>
  </si>
  <si>
    <t>FIRE Žilina, s.r.o.</t>
  </si>
  <si>
    <t>46570721</t>
  </si>
  <si>
    <t>OBJ210161</t>
  </si>
  <si>
    <t>kontrola hasiacich prístrojov a pož.vodovodov, oprava has.prístrojov, tlakovanie hadíc</t>
  </si>
  <si>
    <t xml:space="preserve"> 20210071</t>
  </si>
  <si>
    <t>paušálna odmena za 10/2021</t>
  </si>
  <si>
    <t>20210934</t>
  </si>
  <si>
    <t>služby VTZ 10/21</t>
  </si>
  <si>
    <t>210464</t>
  </si>
  <si>
    <t>210465</t>
  </si>
  <si>
    <t>predd.vodné, stočné v BD a NP 10/21</t>
  </si>
  <si>
    <t>predd.vodné, stočné v BD a NP 11/21</t>
  </si>
  <si>
    <t>210468</t>
  </si>
  <si>
    <t>predd.spotreby plynu v BD a NP za 10/2021</t>
  </si>
  <si>
    <t>202170</t>
  </si>
  <si>
    <t>OBJ210157</t>
  </si>
  <si>
    <t>vypracovanie realizačného rozpočtu a výkazu výmer na búracie práce BD Kraskova 4, 8</t>
  </si>
  <si>
    <t>Rastislav Tomala - TATRY ALAMOT</t>
  </si>
  <si>
    <t>37239881</t>
  </si>
  <si>
    <t>OBJ210154</t>
  </si>
  <si>
    <t>vykonanie skúšky funkčnosti filtrov ventilačných zariadení v CO krytoch</t>
  </si>
  <si>
    <t>4539776061</t>
  </si>
  <si>
    <t>vyúčt. spotreby el.energie ul.Bratislavská, obytný kontajner</t>
  </si>
  <si>
    <t>8417152678</t>
  </si>
  <si>
    <t>9067316829</t>
  </si>
  <si>
    <t>2138541392</t>
  </si>
  <si>
    <t>21120363</t>
  </si>
  <si>
    <t>Popl.za správu bytov: Timravy, Tulská, Minčolská, Bôrická cesta, Bajzová, Gabajová 11/21</t>
  </si>
  <si>
    <t>20211045</t>
  </si>
  <si>
    <t>monitoring prevádzkových stavov plynovej kotolne Horný Val za 10/21</t>
  </si>
  <si>
    <t>210473</t>
  </si>
  <si>
    <t>vodoinštalačné práce: ul. Košická</t>
  </si>
  <si>
    <t>210474</t>
  </si>
  <si>
    <t>elektroinštalačné práce v BD a NP</t>
  </si>
  <si>
    <t>210476</t>
  </si>
  <si>
    <t>210475</t>
  </si>
  <si>
    <t>refakt. teplo BD Predmestská</t>
  </si>
  <si>
    <t>refakt. teplo BD Korzo</t>
  </si>
  <si>
    <t>210477</t>
  </si>
  <si>
    <t>spracovanie poštových poukazov 10/2021</t>
  </si>
  <si>
    <t>210478</t>
  </si>
  <si>
    <t>vyúčt. spotreby el.energie v BD Bratislavská, Borová</t>
  </si>
  <si>
    <t>210479</t>
  </si>
  <si>
    <t xml:space="preserve">pripojovací poplatok v BD Petzvalova </t>
  </si>
  <si>
    <t>210480</t>
  </si>
  <si>
    <t>materiál na opravu v BD a NP</t>
  </si>
  <si>
    <t>210481</t>
  </si>
  <si>
    <t>upratovanie v priestoroch BD 10/21</t>
  </si>
  <si>
    <t>210482</t>
  </si>
  <si>
    <t>refakt. telefóny vo výťahoch v BD 10/21</t>
  </si>
  <si>
    <t>210472</t>
  </si>
  <si>
    <t>OBJ210137</t>
  </si>
  <si>
    <t>OaU v BD: maľovanie, vodoinštalačné práce, výmena termostatickej hlavice, odvzdušnenie,..</t>
  </si>
  <si>
    <t>2021072</t>
  </si>
  <si>
    <t>OBJ210166</t>
  </si>
  <si>
    <t>stavebno-montážne práce: dodanie, motáž OSB dosiek na okenné rámy, dodanie exter.dverí v BD Bratislavská 38</t>
  </si>
  <si>
    <t>17203331</t>
  </si>
  <si>
    <t>17203332</t>
  </si>
  <si>
    <t>210100587</t>
  </si>
  <si>
    <t>RUMIT SLOVAKIA, s.r.o.</t>
  </si>
  <si>
    <t>31718990</t>
  </si>
  <si>
    <t>výmena vodomerov na SV s rádiomodulmi v BD Bratislavská 36</t>
  </si>
  <si>
    <t>210100589</t>
  </si>
  <si>
    <t>výmena vodomerov na SV s rádiomodulmi v BD Segnerová 6</t>
  </si>
  <si>
    <t>210100588</t>
  </si>
  <si>
    <t>výmena vodomerov na SV s rádiomodulmi v BD Petzvalova 19</t>
  </si>
  <si>
    <t>1820210905</t>
  </si>
  <si>
    <t>Severoslovenské vodárne a kanalizácie, a.s.</t>
  </si>
  <si>
    <t>OBJ210159</t>
  </si>
  <si>
    <t>osadenie ventilu pred vodomerom na OM Bratislavská 38</t>
  </si>
  <si>
    <t>4112021</t>
  </si>
  <si>
    <t>OBJ210167</t>
  </si>
  <si>
    <t>prestrešenie BD a odstránenie zhoreniska zo strechy na ul. J.Hronca 17</t>
  </si>
  <si>
    <t>199310210</t>
  </si>
  <si>
    <t>vyúčt.dodávok tepla 10/21</t>
  </si>
  <si>
    <t>Elpas, s.r.o.</t>
  </si>
  <si>
    <t>202002</t>
  </si>
  <si>
    <t>1272020</t>
  </si>
  <si>
    <t>36403199</t>
  </si>
  <si>
    <t>havarijná služba, pohotovosť</t>
  </si>
  <si>
    <t>OBJ200048</t>
  </si>
  <si>
    <t>týždenná kontrola výťahov</t>
  </si>
  <si>
    <t>DF2100688</t>
  </si>
  <si>
    <t>DF2100689</t>
  </si>
  <si>
    <t>DF2100690</t>
  </si>
  <si>
    <t>DF2100691</t>
  </si>
  <si>
    <t>DF2100692</t>
  </si>
  <si>
    <t>DF2100693</t>
  </si>
  <si>
    <t>DF2100694</t>
  </si>
  <si>
    <t>DF2100695</t>
  </si>
  <si>
    <t>DF2100696</t>
  </si>
  <si>
    <t>DF2100697</t>
  </si>
  <si>
    <t>DF2100698</t>
  </si>
  <si>
    <t>DF2100699</t>
  </si>
  <si>
    <t>DF2100700</t>
  </si>
  <si>
    <t>DF2100701</t>
  </si>
  <si>
    <t>DF2100702</t>
  </si>
  <si>
    <t>DF2100703</t>
  </si>
  <si>
    <t>DF2100704</t>
  </si>
  <si>
    <t>DF2100705</t>
  </si>
  <si>
    <t>202111</t>
  </si>
  <si>
    <t>Vladimír Ceniga</t>
  </si>
  <si>
    <t>OBJ210099</t>
  </si>
  <si>
    <t>zadebnenie vchod.dverí, dverí do bytov po požiari BD Bratislavská 38</t>
  </si>
  <si>
    <t>202114</t>
  </si>
  <si>
    <t>OBJ210127</t>
  </si>
  <si>
    <t>výmena vstupných dverí do BJ Bratislavská 40/2</t>
  </si>
  <si>
    <t>202115</t>
  </si>
  <si>
    <t>OBJ210129</t>
  </si>
  <si>
    <t>odstránenie havárie na prasknutom potrubí v BD Bratislavská 46, Bratislavská 48</t>
  </si>
  <si>
    <t>202116</t>
  </si>
  <si>
    <t>OBJ210128</t>
  </si>
  <si>
    <t>výmena vstupných dverí do BJ Bratislavská 48</t>
  </si>
  <si>
    <t>20210067</t>
  </si>
  <si>
    <t>Pavol Prítel</t>
  </si>
  <si>
    <t>33369127</t>
  </si>
  <si>
    <t>OBJ210171</t>
  </si>
  <si>
    <t>výroba, montáž otváracej mreže na Košickej ul. 2A</t>
  </si>
  <si>
    <t>202104</t>
  </si>
  <si>
    <t>zadebnenie otvoru BD 1.Mája proti neopráv.vniknutiu, výmena exter.dverí na sociálnych zariad. Bratislavská, bunky</t>
  </si>
  <si>
    <t>DFZ210108</t>
  </si>
  <si>
    <t>DFZ210109</t>
  </si>
  <si>
    <t>DFZ210110</t>
  </si>
  <si>
    <t>4942021</t>
  </si>
  <si>
    <t>OBJ210163</t>
  </si>
  <si>
    <t>údržbárske práce: výmena umývadla, sifónov, batérie, ventily</t>
  </si>
  <si>
    <t>20210527</t>
  </si>
  <si>
    <t>OBJ210175</t>
  </si>
  <si>
    <t>kontrola požiarnych vodovodov, tlaková skúška požiarnych hadíc</t>
  </si>
  <si>
    <t>210484</t>
  </si>
  <si>
    <t>el.energia, zrážková voda, plyn BD Košická</t>
  </si>
  <si>
    <t>40211139</t>
  </si>
  <si>
    <t>OBJ210158</t>
  </si>
  <si>
    <t>servisné práce vyhradeného technického zariadenia</t>
  </si>
  <si>
    <t>210487</t>
  </si>
  <si>
    <t>preddavky na el.energiu v BD a NP 11/2021</t>
  </si>
  <si>
    <t>210489</t>
  </si>
  <si>
    <t>vyúčt.spotreby plynu v BD Korzo, Petzvalova, J.Hronca</t>
  </si>
  <si>
    <t>DF2100706</t>
  </si>
  <si>
    <t>DF2100707</t>
  </si>
  <si>
    <t>DF2100708</t>
  </si>
  <si>
    <t>DF2100709</t>
  </si>
  <si>
    <t>DF2100710</t>
  </si>
  <si>
    <t>DF2100711</t>
  </si>
  <si>
    <t>DF2100712</t>
  </si>
  <si>
    <t>DF2100713</t>
  </si>
  <si>
    <t>DF2100714</t>
  </si>
  <si>
    <t>DF2100715</t>
  </si>
  <si>
    <t>DF2100716</t>
  </si>
  <si>
    <t>DF2100717</t>
  </si>
  <si>
    <t>DF2100718</t>
  </si>
  <si>
    <t>DF2100719</t>
  </si>
  <si>
    <t>DF2100720</t>
  </si>
  <si>
    <t>7964235498</t>
  </si>
  <si>
    <t>revízie výťahov 11/2021</t>
  </si>
  <si>
    <t>15222015</t>
  </si>
  <si>
    <t>2421</t>
  </si>
  <si>
    <t>OBJ210174</t>
  </si>
  <si>
    <t>statický posudok na BD J.Hronca 17</t>
  </si>
  <si>
    <t>DFZ210111</t>
  </si>
  <si>
    <t>DFZ210112</t>
  </si>
  <si>
    <t>DFZ210113</t>
  </si>
  <si>
    <t>21111346</t>
  </si>
  <si>
    <t>OBJ210179</t>
  </si>
  <si>
    <t>Float</t>
  </si>
  <si>
    <t>diaľkový dozor výmenníková stanica  - ZŠ 12/2021</t>
  </si>
  <si>
    <t>2021090</t>
  </si>
  <si>
    <t>vodné, zimný štadión  HK   11/2021</t>
  </si>
  <si>
    <t>3211081155</t>
  </si>
  <si>
    <t>210503</t>
  </si>
  <si>
    <t>výkon správy ZŠ za 11/2021</t>
  </si>
  <si>
    <t>210511</t>
  </si>
  <si>
    <t>pripojenie objektu zimného štadióna k sieti SRP 12/2021</t>
  </si>
  <si>
    <t>210509</t>
  </si>
  <si>
    <t>OBJ210170</t>
  </si>
  <si>
    <t>OaU: materiál na opravu v BD a NP</t>
  </si>
  <si>
    <t>20211027</t>
  </si>
  <si>
    <t>služby VTZ 11/21</t>
  </si>
  <si>
    <t>DFH210042</t>
  </si>
  <si>
    <t>210504</t>
  </si>
  <si>
    <t>výkon správy .ZŠ Hollého 66  za  11/2021</t>
  </si>
  <si>
    <t>2119794317</t>
  </si>
  <si>
    <t>210506</t>
  </si>
  <si>
    <t>oprava a údržba školských zariadení:  MŠ 11/2021</t>
  </si>
  <si>
    <t>210507</t>
  </si>
  <si>
    <t>oprava a údržba školských zariadení:  ZŠ 11/2021</t>
  </si>
  <si>
    <t>210508</t>
  </si>
  <si>
    <t>oprava a údržba školských zariadení: CVČ a ZUŠ 11/21</t>
  </si>
  <si>
    <t>210500</t>
  </si>
  <si>
    <t>správa NP -školské zariadenia MŠ 11/21</t>
  </si>
  <si>
    <t>210501</t>
  </si>
  <si>
    <t>správa NP -školské zariadenia ZŠ 11/21</t>
  </si>
  <si>
    <t>210502</t>
  </si>
  <si>
    <t>správa NP -školské zariadenia CVČ a ZUŠ 11/21</t>
  </si>
  <si>
    <t>210499</t>
  </si>
  <si>
    <t>správa NP -CO kryty 11/21</t>
  </si>
  <si>
    <t>210496</t>
  </si>
  <si>
    <t>správa bytov a nebyt.priestorov, vedenie účtov kúpnych zmlúv 11/21</t>
  </si>
  <si>
    <t>20211124</t>
  </si>
  <si>
    <t>monitoring prevádzkových stavov plynovej kotolne Horný Val za 11/21</t>
  </si>
  <si>
    <t>20210539</t>
  </si>
  <si>
    <t>17203471</t>
  </si>
  <si>
    <t>OBJ210182</t>
  </si>
  <si>
    <t>výmena vstupných dverí BD Bratislavská 36</t>
  </si>
  <si>
    <t>2100086</t>
  </si>
  <si>
    <t>SBS KOBRA Martin s.r.o.</t>
  </si>
  <si>
    <t>36390526</t>
  </si>
  <si>
    <t>strážna služby 11/2021 BD Košická 2A</t>
  </si>
  <si>
    <t>DFH210043</t>
  </si>
  <si>
    <t>DFZ210114</t>
  </si>
  <si>
    <t>DFZ210115</t>
  </si>
  <si>
    <t>DFZ210116</t>
  </si>
  <si>
    <t>DFZ210117</t>
  </si>
  <si>
    <t>DFZ210118</t>
  </si>
  <si>
    <t>DFZ210119</t>
  </si>
  <si>
    <t>DF2100721</t>
  </si>
  <si>
    <t>DF2100722</t>
  </si>
  <si>
    <t>DF2100723</t>
  </si>
  <si>
    <t>DF2100724</t>
  </si>
  <si>
    <t>DF2100725</t>
  </si>
  <si>
    <t>DF2100726</t>
  </si>
  <si>
    <t>DF2100727</t>
  </si>
  <si>
    <t>DF2100728</t>
  </si>
  <si>
    <t>DF2100729</t>
  </si>
  <si>
    <t>DF2100730</t>
  </si>
  <si>
    <t>DF2100731</t>
  </si>
  <si>
    <t>DF2100732</t>
  </si>
  <si>
    <t>DF2100733</t>
  </si>
  <si>
    <t>DF2100734</t>
  </si>
  <si>
    <t>DF2100735</t>
  </si>
  <si>
    <t>DF2100736</t>
  </si>
  <si>
    <t>DF2100737</t>
  </si>
  <si>
    <t>DF2100738</t>
  </si>
  <si>
    <t>DF2100739</t>
  </si>
  <si>
    <t>DF2100740</t>
  </si>
  <si>
    <t>DF2100741</t>
  </si>
  <si>
    <t>DF2100742</t>
  </si>
  <si>
    <t>DF2100743</t>
  </si>
  <si>
    <t>DF2100744</t>
  </si>
  <si>
    <t>DF2100745</t>
  </si>
  <si>
    <t>DF2100746</t>
  </si>
  <si>
    <t>21121</t>
  </si>
  <si>
    <t>JM Investing, s.r.o.</t>
  </si>
  <si>
    <t>47781467</t>
  </si>
  <si>
    <t>OBJ210176</t>
  </si>
  <si>
    <t>vypracovanie výkazu výmer na prestrešenie strechy J.Hronca 17</t>
  </si>
  <si>
    <t>20210077</t>
  </si>
  <si>
    <t>paušálna odmena za 11/2021</t>
  </si>
  <si>
    <t>9263523301</t>
  </si>
  <si>
    <t>4539776062</t>
  </si>
  <si>
    <t>210517</t>
  </si>
  <si>
    <t>refakt. telefóny vo výťahoch v BD 11/21</t>
  </si>
  <si>
    <t>210516</t>
  </si>
  <si>
    <t>spracovanie poštových poukazov 11/2021</t>
  </si>
  <si>
    <t>210515</t>
  </si>
  <si>
    <t>refakt. teplo v BD Predmestká 11/21</t>
  </si>
  <si>
    <t>17203537</t>
  </si>
  <si>
    <t>210100648</t>
  </si>
  <si>
    <t>výmena vodomerov na SV s rádiomodulmi v BD Kempelenova 39</t>
  </si>
  <si>
    <t>210100649</t>
  </si>
  <si>
    <t>výmena vodomerov na SV s rádiomodulmi v BD Kempelenova 37</t>
  </si>
  <si>
    <t>210100650</t>
  </si>
  <si>
    <t>výmena vodomerov na SV s rádiomodulmi v BD J.Hronca 13</t>
  </si>
  <si>
    <t>210100651</t>
  </si>
  <si>
    <t>výmena vodomerov na SV s rádiomodulmi v BD J.Hronca 1</t>
  </si>
  <si>
    <t>210100652</t>
  </si>
  <si>
    <t>výmena vodomerov na SV s rádiomodulmi v BD J.Hronca 11</t>
  </si>
  <si>
    <t>210100653</t>
  </si>
  <si>
    <t>výmena vodomerov na SV s rádiomodulmi v BD J.Hronca 19</t>
  </si>
  <si>
    <t>210100654</t>
  </si>
  <si>
    <t>výmena vodomerov na SV s rádiomodulmi v BD J.Hronca 23</t>
  </si>
  <si>
    <t>210100655</t>
  </si>
  <si>
    <t>výmena vodomerov na SV s rádiomodulmi v BD Borová 45</t>
  </si>
  <si>
    <t>210100656</t>
  </si>
  <si>
    <t>výmena vodomerov na SV s rádiomodulmi v BD J.Hronca 5</t>
  </si>
  <si>
    <t>210100657</t>
  </si>
  <si>
    <t>výmena vodomerov na SV s rádiomodulmi v BD J.Hronca 9</t>
  </si>
  <si>
    <t>210100658</t>
  </si>
  <si>
    <t>výmena vodomerov na SV s rádiomodulmi v BD Bratislavská 46</t>
  </si>
  <si>
    <t>210100659</t>
  </si>
  <si>
    <t>výmena vodomerov na SV s rádiomodulmi v BD Petzvalova 3</t>
  </si>
  <si>
    <t>210100660</t>
  </si>
  <si>
    <t>výmena vodomerov na SV s rádiomodulmi v BD Pri Rajčianke 60</t>
  </si>
  <si>
    <t>210100661</t>
  </si>
  <si>
    <t>výmena vodomerov na SV s rádiomodulmi v BD Korzo 10</t>
  </si>
  <si>
    <t>210100662</t>
  </si>
  <si>
    <t>výmena vodomerov na SV s rádiomodulmi v BD Korzo 11</t>
  </si>
  <si>
    <t>210100663</t>
  </si>
  <si>
    <t>výmena vodomerov na SV s rádiomodulmi v BD Korzo 13</t>
  </si>
  <si>
    <t>210100664</t>
  </si>
  <si>
    <t>výmena vodomerov na SV s rádiomodulmi v BD Korzo 17</t>
  </si>
  <si>
    <t>210100665</t>
  </si>
  <si>
    <t>výmena vodomerov na SV s rádiomodulmi v BD Korzo 29</t>
  </si>
  <si>
    <t>210100666</t>
  </si>
  <si>
    <t>výmena vodomerov na SV s rádiomodulmi v BD Kempelenova 47</t>
  </si>
  <si>
    <t>210100667</t>
  </si>
  <si>
    <t>dodávka modemu na pochôdzový rádiový odpočet meradiel</t>
  </si>
  <si>
    <t>210100647</t>
  </si>
  <si>
    <t>výmena vodomerov na SV s rádiomodulmi v BD Kempelenova 25</t>
  </si>
  <si>
    <t>210512</t>
  </si>
  <si>
    <t>prenájom LED osvetlenia</t>
  </si>
  <si>
    <t>teplo zimný štadión   11/2021</t>
  </si>
  <si>
    <t>4702591121</t>
  </si>
  <si>
    <t>elektrická energia 11/2021 zimný štadion</t>
  </si>
  <si>
    <t>4584080017</t>
  </si>
  <si>
    <t>210514</t>
  </si>
  <si>
    <t>prenájom  rolby obdobie 10-12/2021</t>
  </si>
  <si>
    <t>202100172</t>
  </si>
  <si>
    <t>OBJ210183</t>
  </si>
  <si>
    <t>dodávka prípravkov na úpravu vody v chladiacej stanici</t>
  </si>
  <si>
    <t>210526</t>
  </si>
  <si>
    <t>poistenie</t>
  </si>
  <si>
    <t>210521</t>
  </si>
  <si>
    <t>DF2100747</t>
  </si>
  <si>
    <t>DF2100748</t>
  </si>
  <si>
    <t>DF2100749</t>
  </si>
  <si>
    <t>DF2100750</t>
  </si>
  <si>
    <t>DF2100751</t>
  </si>
  <si>
    <t>DF2100752</t>
  </si>
  <si>
    <t>DF2100753</t>
  </si>
  <si>
    <t>DF2100754</t>
  </si>
  <si>
    <t>DF2100755</t>
  </si>
  <si>
    <t>DF2100756</t>
  </si>
  <si>
    <t>DF2100757</t>
  </si>
  <si>
    <t>DF2100758</t>
  </si>
  <si>
    <t>DF2100759</t>
  </si>
  <si>
    <t>DF2100760</t>
  </si>
  <si>
    <t>DF2100761</t>
  </si>
  <si>
    <t>DF2100762</t>
  </si>
  <si>
    <t>DF2100763</t>
  </si>
  <si>
    <t>DF2100764</t>
  </si>
  <si>
    <t>DF2100765</t>
  </si>
  <si>
    <t>DF2100766</t>
  </si>
  <si>
    <t>DF2100767</t>
  </si>
  <si>
    <t>DF2100768</t>
  </si>
  <si>
    <t>DF2100769</t>
  </si>
  <si>
    <t>DF2100770</t>
  </si>
  <si>
    <t>DF2100771</t>
  </si>
  <si>
    <t>DF2100772</t>
  </si>
  <si>
    <t>DF2100773</t>
  </si>
  <si>
    <t>DF2100774</t>
  </si>
  <si>
    <t>199311210</t>
  </si>
  <si>
    <t>vyúčt.dodávok tepla 11/21</t>
  </si>
  <si>
    <t>210518</t>
  </si>
  <si>
    <t>materiál na opravu a údržbu v BD:Jedlíkova, Korzo, Segnerova</t>
  </si>
  <si>
    <t>210523</t>
  </si>
  <si>
    <t>poistenie majetku do 31.08.2021</t>
  </si>
  <si>
    <t>210522</t>
  </si>
  <si>
    <t>vyúčt. spotreby el.energie v BD Bratislavská, Borová, Korzo</t>
  </si>
  <si>
    <t>210519</t>
  </si>
  <si>
    <t>preddavky spotreby energií v BD a NP 12/2021</t>
  </si>
  <si>
    <t>20210016</t>
  </si>
  <si>
    <t>Stavby DREVO OÁZA, s.r.o.</t>
  </si>
  <si>
    <t>44479646</t>
  </si>
  <si>
    <t>oprava a stavebné úpravy  sedlovej strechy na BD J.Hronca 25</t>
  </si>
  <si>
    <t>210527</t>
  </si>
  <si>
    <t>upratovanie v priestoroch BD 11/2021</t>
  </si>
  <si>
    <t>210528</t>
  </si>
  <si>
    <t>1122045</t>
  </si>
  <si>
    <t>Realitné centrum RED, s.r.o.</t>
  </si>
  <si>
    <t>456543950</t>
  </si>
  <si>
    <t>OBJ210164</t>
  </si>
  <si>
    <t>vyúčt. predd. plynu OM</t>
  </si>
  <si>
    <t>spracovanie podkladov k stanoveniu trhovej ceny bytov</t>
  </si>
  <si>
    <t>21120402</t>
  </si>
  <si>
    <t>Popl.za správu bytov: Timravy, Tulská, Minčolská, Bôrická cesta, Bajzová, Gabajová 12/21</t>
  </si>
  <si>
    <t>DF2100775</t>
  </si>
  <si>
    <t>DF2100776</t>
  </si>
  <si>
    <t>DF2100777</t>
  </si>
  <si>
    <t>DF2100778</t>
  </si>
  <si>
    <t>DF2100779</t>
  </si>
  <si>
    <t>DF2100780</t>
  </si>
  <si>
    <t>DF2100781</t>
  </si>
  <si>
    <t>DF2100782</t>
  </si>
  <si>
    <t>DF2100783</t>
  </si>
  <si>
    <t>DF2100784</t>
  </si>
  <si>
    <t>DF2100785</t>
  </si>
  <si>
    <t>DF2100786</t>
  </si>
  <si>
    <t>DF2100787</t>
  </si>
  <si>
    <t>DF2100788</t>
  </si>
  <si>
    <t>2621</t>
  </si>
  <si>
    <t>OBJ210169</t>
  </si>
  <si>
    <t>zameranie skutoč.stavu objektu, technický dozor pri čistiacich prácach po požiari BD Bratislavská 38</t>
  </si>
  <si>
    <t>21100033</t>
  </si>
  <si>
    <t>pravidelná technická prehliadka automatického parkovacieho systému:Hájik za 4.Q/21</t>
  </si>
  <si>
    <t>210531</t>
  </si>
  <si>
    <t>210532</t>
  </si>
  <si>
    <t>210533</t>
  </si>
  <si>
    <t>materiál, elektrikárske práce BD J.Hronca 017</t>
  </si>
  <si>
    <t>vymalovanie SP BD J.Hronca 17</t>
  </si>
  <si>
    <t>správy o odbornej prehliadke a odbornej skúške BD J.Hronca 17</t>
  </si>
  <si>
    <t>3211084191</t>
  </si>
  <si>
    <t>SEVAK, a.s.</t>
  </si>
  <si>
    <t>vodné, stočné Bratislavská ul. bunky</t>
  </si>
  <si>
    <t>3211084200</t>
  </si>
  <si>
    <t>7217226018</t>
  </si>
  <si>
    <t xml:space="preserve">vyúčt. spotreby el.energie CO kryt </t>
  </si>
  <si>
    <t>17203573</t>
  </si>
  <si>
    <t>210536</t>
  </si>
  <si>
    <t>preddavky na elektrickú energiu za BD a NP 12/2021</t>
  </si>
  <si>
    <t>preddavky na vodné, stočné za BD a NP 12/2021</t>
  </si>
  <si>
    <t>210534</t>
  </si>
  <si>
    <t>vyúčt.spotreby plynu za BD a NP Korzo, Petzvalova</t>
  </si>
  <si>
    <t>20529</t>
  </si>
  <si>
    <t>210530</t>
  </si>
  <si>
    <t>oprava a údržba v BD a NP: vymaľovanie, výmena plávajúcej podlahy, montáž rohových líšt, výmena obkladu</t>
  </si>
  <si>
    <t>20210305</t>
  </si>
  <si>
    <t>MPM Správcovská spoločnosť, s.r.o.</t>
  </si>
  <si>
    <t>45711810</t>
  </si>
  <si>
    <t>poplatok za výkon správy 1-12/2021</t>
  </si>
  <si>
    <t>6073708973</t>
  </si>
  <si>
    <t>2187802265</t>
  </si>
  <si>
    <t>20210082</t>
  </si>
  <si>
    <t>OBJ210186</t>
  </si>
  <si>
    <t>odstránenie plynu na ul. J.Hronca 21</t>
  </si>
  <si>
    <t>20210045</t>
  </si>
  <si>
    <t>KELSO s.r.o.</t>
  </si>
  <si>
    <t>46203397</t>
  </si>
  <si>
    <t>OBJ210173</t>
  </si>
  <si>
    <t>projektovanie elektrických zariadení na stavbe BD J.Hronca 17</t>
  </si>
  <si>
    <t>PS Elektromont, s.r.o.</t>
  </si>
  <si>
    <t>50346938</t>
  </si>
  <si>
    <t>výmena stúpačkových vedení a svietidiel v SP na ul. J.Hronca 17</t>
  </si>
  <si>
    <t>OBJ210168</t>
  </si>
  <si>
    <t>provizórny elektromontážny prívod do výmenníkovej stanice v BD J.Hronca 17</t>
  </si>
  <si>
    <t>4122021</t>
  </si>
  <si>
    <t>OBJ210185</t>
  </si>
  <si>
    <t>výmena okien BD Tatranská 10</t>
  </si>
  <si>
    <t>210561</t>
  </si>
  <si>
    <t>210562</t>
  </si>
  <si>
    <t>210563</t>
  </si>
  <si>
    <t>210557</t>
  </si>
  <si>
    <t>210556</t>
  </si>
  <si>
    <t>210555</t>
  </si>
  <si>
    <t>DF2100789</t>
  </si>
  <si>
    <t>DF2100790</t>
  </si>
  <si>
    <t>DF2100791</t>
  </si>
  <si>
    <t>DF2100792</t>
  </si>
  <si>
    <t>DF2100793</t>
  </si>
  <si>
    <t>DF2100794</t>
  </si>
  <si>
    <t>DF2100795</t>
  </si>
  <si>
    <t>DF2100796</t>
  </si>
  <si>
    <t>DF2100797</t>
  </si>
  <si>
    <t>DF2100798</t>
  </si>
  <si>
    <t>DF2100799</t>
  </si>
  <si>
    <t>DF2100800</t>
  </si>
  <si>
    <t>DF2100801</t>
  </si>
  <si>
    <t>DF2100802</t>
  </si>
  <si>
    <t>DF2100803</t>
  </si>
  <si>
    <t>DF2100804</t>
  </si>
  <si>
    <t>DF2100805</t>
  </si>
  <si>
    <t>DF2100806</t>
  </si>
  <si>
    <t>DF2100807</t>
  </si>
  <si>
    <t>DF2100808</t>
  </si>
  <si>
    <t>DF2100809</t>
  </si>
  <si>
    <t>DF2100810</t>
  </si>
  <si>
    <t>DF2100811</t>
  </si>
  <si>
    <t>DF2100812</t>
  </si>
  <si>
    <t>DF2100813</t>
  </si>
  <si>
    <t>DF2100814</t>
  </si>
  <si>
    <t>DF2100815</t>
  </si>
  <si>
    <t>DF2100816</t>
  </si>
  <si>
    <t>oprava a údržba školských zariadení:  MŠ 12/2021</t>
  </si>
  <si>
    <t>oprava a údržba školských zariadení:  ZŠ 12/2021</t>
  </si>
  <si>
    <t>oprava a údržba školských zariadení: CVČ a ZUŠ 12/21</t>
  </si>
  <si>
    <t>správa NP -školské zariadenia CVČ a ZUŠ 12/21</t>
  </si>
  <si>
    <t>správa NP -školské zariadenia ZŠ 12/21</t>
  </si>
  <si>
    <t>správa NP -školské zariadenia MŠ 12/21</t>
  </si>
  <si>
    <t>správa NP -CO kryty 12/21</t>
  </si>
  <si>
    <t>210554</t>
  </si>
  <si>
    <t>210551</t>
  </si>
  <si>
    <t>správa bytov a nebyt.priestorov, vedenie účtov kúpnych zmlúv 12/21</t>
  </si>
  <si>
    <t>210541</t>
  </si>
  <si>
    <t>OaU: vodoinštalačné práce v BD 11/2021</t>
  </si>
  <si>
    <t>210540</t>
  </si>
  <si>
    <t>OaU: elektroinštalačné práce v BD 11/2021</t>
  </si>
  <si>
    <t>210539</t>
  </si>
  <si>
    <t xml:space="preserve">OaU: elektroinštalačné práce v SP BD Pri Rajčianke </t>
  </si>
  <si>
    <t>210538</t>
  </si>
  <si>
    <t xml:space="preserve">OaU: vodoinštalačné práce v SP BD Petzvalova </t>
  </si>
  <si>
    <t>210544</t>
  </si>
  <si>
    <t>refakt.elektrická energia, zrážková voda, plyn BD ul.Košická 11/21</t>
  </si>
  <si>
    <t>6122021</t>
  </si>
  <si>
    <t>výmena dažďových zvodov na Bratislavskej ul.</t>
  </si>
  <si>
    <t>DF2100817</t>
  </si>
  <si>
    <t>DF2100818</t>
  </si>
  <si>
    <t>DF2100819</t>
  </si>
  <si>
    <t>DF2100820</t>
  </si>
  <si>
    <t>DF2100821</t>
  </si>
  <si>
    <t>DF2100822</t>
  </si>
  <si>
    <t>DF2100823</t>
  </si>
  <si>
    <t>DF2100824</t>
  </si>
  <si>
    <t>DF2100825</t>
  </si>
  <si>
    <t>DF2100826</t>
  </si>
  <si>
    <t>DF2100827</t>
  </si>
  <si>
    <t>DF2100828</t>
  </si>
  <si>
    <t>DF2100829</t>
  </si>
  <si>
    <t>DF2100830</t>
  </si>
  <si>
    <t>DF2100831</t>
  </si>
  <si>
    <t>DF2100832</t>
  </si>
  <si>
    <t>DF2100833</t>
  </si>
  <si>
    <t>DF2100834</t>
  </si>
  <si>
    <t>DF2100835</t>
  </si>
  <si>
    <t>DF2100836</t>
  </si>
  <si>
    <t>DF2100837</t>
  </si>
  <si>
    <t>DF2100838</t>
  </si>
  <si>
    <t>DF2100839</t>
  </si>
  <si>
    <t>DF2100840</t>
  </si>
  <si>
    <t>DF2100841</t>
  </si>
  <si>
    <t>DF2100842</t>
  </si>
  <si>
    <t>DF2100843</t>
  </si>
  <si>
    <t>DF2100844</t>
  </si>
  <si>
    <t>DF2100845</t>
  </si>
  <si>
    <t>DF2100846</t>
  </si>
  <si>
    <t>DF2100847</t>
  </si>
  <si>
    <t>DF2100848</t>
  </si>
  <si>
    <t>DF2100849</t>
  </si>
  <si>
    <t>DF2100850</t>
  </si>
  <si>
    <t>DF2100851</t>
  </si>
  <si>
    <t>DF2100852</t>
  </si>
  <si>
    <t>DF2100853</t>
  </si>
  <si>
    <t>210100735</t>
  </si>
  <si>
    <t>výmena vodomerov na SV s rádiomodulmi v BD Korzo 4</t>
  </si>
  <si>
    <t>210100733</t>
  </si>
  <si>
    <t>210100755</t>
  </si>
  <si>
    <t>210100766</t>
  </si>
  <si>
    <t>výmena vodomerov na SV s rádiomodulmi v BD Korzo 1</t>
  </si>
  <si>
    <t>210100734</t>
  </si>
  <si>
    <t>výmena vodomerov na SV s rádiomodulmi v BD Korzo 3</t>
  </si>
  <si>
    <t>210100731</t>
  </si>
  <si>
    <t>výmena vodomerov na SV s rádiomodulmi v BD J.Hronca 21</t>
  </si>
  <si>
    <t>210100732</t>
  </si>
  <si>
    <t>výmena vodomerov na SV s rádiomodulmi v BD J.Hronca 25</t>
  </si>
  <si>
    <t>210100729</t>
  </si>
  <si>
    <t>výmena vodomerov na SV s rádiomodulmi v BD J.Hronca 15</t>
  </si>
  <si>
    <t>210100730</t>
  </si>
  <si>
    <t>výmena vodomerov na SV s rádiomodulmi v BD J.Hronca 17</t>
  </si>
  <si>
    <t>210100727</t>
  </si>
  <si>
    <t>výmena vodomerov na SV s rádiomodulmi v BD J.Hronca 3</t>
  </si>
  <si>
    <t>210100728</t>
  </si>
  <si>
    <t>výmena vodomerov na SV s rádiomodulmi v BD J.Hronca 7</t>
  </si>
  <si>
    <t>210100725</t>
  </si>
  <si>
    <t>výmena vodomerov na SV s rádiomodulmi v BD Kempelenova 45</t>
  </si>
  <si>
    <t>210100726</t>
  </si>
  <si>
    <t>výmena vodomerov na SV s rádiomodulmi v BD Kempelenova 49</t>
  </si>
  <si>
    <t>210100772</t>
  </si>
  <si>
    <t>výmena vodomerov na SV s rádiomodulmi v BD Kempelenova 43</t>
  </si>
  <si>
    <t>210100773</t>
  </si>
  <si>
    <t>dopravné, réžijné náklady spojené s výmenou vodomerov</t>
  </si>
  <si>
    <t>210100770</t>
  </si>
  <si>
    <t>výmena vodomerov na SV s rádiomodulmi v BD Kempelenova 35</t>
  </si>
  <si>
    <t>210100771</t>
  </si>
  <si>
    <t>výmena vodomerov na SV s rádiomodulmi v BD Kempelenova 41</t>
  </si>
  <si>
    <t>210100768</t>
  </si>
  <si>
    <t>výmena vodomerov na SV s rádiomodulmi v BD Kempelenova 31</t>
  </si>
  <si>
    <t>210100769</t>
  </si>
  <si>
    <t>výmena vodomerov na SV s rádiomodulmi v BD Kempelenova 33</t>
  </si>
  <si>
    <t>výmena vodomerov na SV s rádiomodulmi v BD Kempelenova 27</t>
  </si>
  <si>
    <t>210100767</t>
  </si>
  <si>
    <t>výmena vodomerov na SV s rádiomodulmi v BD Kempelenova 29</t>
  </si>
  <si>
    <t>210100765</t>
  </si>
  <si>
    <t>výmena vodomerov na SV s rádiomodulmi v BD Košická 2A</t>
  </si>
  <si>
    <t>210100764</t>
  </si>
  <si>
    <t>výmena vodomerov na SV s rádiomodulmi v BD Karpatská 10</t>
  </si>
  <si>
    <t>210100763</t>
  </si>
  <si>
    <t>výmena vodomerov na SV s rádiomodulmi v BD Pri Rajčianke 40</t>
  </si>
  <si>
    <t>210100761</t>
  </si>
  <si>
    <t>výmena vodomerov na SV s rádiomodulmi v BD Borová 43</t>
  </si>
  <si>
    <t>210100762</t>
  </si>
  <si>
    <t>výmena vodomerov na SV s rádiomodulmi v BD Petzvalova 43</t>
  </si>
  <si>
    <t>210100757</t>
  </si>
  <si>
    <t>výmena vodomerov na SV s rádiomodulmi v BD J.Sklenára 1</t>
  </si>
  <si>
    <t>210100758</t>
  </si>
  <si>
    <t>výmena vodomerov na SV s rádiomodulmi v BD J.Sklenára 11</t>
  </si>
  <si>
    <t>210100759</t>
  </si>
  <si>
    <t>výmena vodomerov na SV s rádiomodulmi v BD J.Sklenára 2</t>
  </si>
  <si>
    <t>210100760</t>
  </si>
  <si>
    <t>výmena vodomerov na SV s rádiomodulmi v BD J.Sklenára 6</t>
  </si>
  <si>
    <t>210100756</t>
  </si>
  <si>
    <t>výmena vodomerov na SV s rádiomodulmi v BD Bratislavská 48</t>
  </si>
  <si>
    <t>210100754</t>
  </si>
  <si>
    <t>výmena vodomerov na SV s rádiomodulmi v BD Petzvalova 21</t>
  </si>
  <si>
    <t>výmena vodomerov na SV s rádiomodulmi v BD Petzvalova 17</t>
  </si>
  <si>
    <t>210100752</t>
  </si>
  <si>
    <t>výmena vodomerov na SV s rádiomodulmi v BD Petzvalova 9</t>
  </si>
  <si>
    <t>210100753</t>
  </si>
  <si>
    <t>výmena vodomerov na SV s rádiomodulmi v BD Petzvalova 1</t>
  </si>
  <si>
    <t>210100750</t>
  </si>
  <si>
    <t>výmena vodomerov na SV s rádiomodulmi v BD Petzvalova 5</t>
  </si>
  <si>
    <t>210100751</t>
  </si>
  <si>
    <t>výmena vodomerov na SV s rádiomodulmi v BD Petzvalova 7</t>
  </si>
  <si>
    <t>210100748</t>
  </si>
  <si>
    <t>výmena vodomerov na SV s rádiomodulmi v BD Segnerova 2</t>
  </si>
  <si>
    <t>210100749</t>
  </si>
  <si>
    <t>výmena vodomerov na SV s rádiomodulmi v BD Segnerova 4</t>
  </si>
  <si>
    <t>210100746</t>
  </si>
  <si>
    <t>výmena vodomerov na SV s rádiomodulmi v BD Jedlíkova 31</t>
  </si>
  <si>
    <t>210100747</t>
  </si>
  <si>
    <t>výmena vodomerov na SV s rádiomodulmi v BD Bratislavská 86</t>
  </si>
  <si>
    <t>210100745</t>
  </si>
  <si>
    <t>výmena vodomerov na SV s rádiomodulmi v BD Jedlíkova 29</t>
  </si>
  <si>
    <t>210100743</t>
  </si>
  <si>
    <t>výmena vodomerov na SV s rádiomodulmi v BD Korzo 35</t>
  </si>
  <si>
    <t>210100744</t>
  </si>
  <si>
    <t>výmena vodomerov na SV s rádiomodulmi v BD Jedlíkova 27</t>
  </si>
  <si>
    <t>210100742</t>
  </si>
  <si>
    <t>výmena vodomerov na SV s rádiomodulmi v BD Korzo 33</t>
  </si>
  <si>
    <t>210100741</t>
  </si>
  <si>
    <t>výmena vodomerov na SV s rádiomodulmi v BD Korzo 31</t>
  </si>
  <si>
    <t>210100740</t>
  </si>
  <si>
    <t>výmena vodomerov na SV s rádiomodulmi v BD Korzo 19</t>
  </si>
  <si>
    <t>210100739</t>
  </si>
  <si>
    <t>výmena vodomerov na SV s rádiomodulmi v BD Korzo 12</t>
  </si>
  <si>
    <t>210100738</t>
  </si>
  <si>
    <t>výmena vodomerov na SV s rádiomodulmi v BD Korzo 7</t>
  </si>
  <si>
    <t>210100737</t>
  </si>
  <si>
    <t>výmena vodomerov na SV s rádiomodulmi v BD Korzo 6</t>
  </si>
  <si>
    <t>2100840</t>
  </si>
  <si>
    <t>výmena vodomerov na SV s rádiomodulmi v BD Korzo 5</t>
  </si>
  <si>
    <t>Rstav s.r.o.</t>
  </si>
  <si>
    <t>50393740</t>
  </si>
  <si>
    <t>oprava havarijného stavu BD J.Hronca 17</t>
  </si>
  <si>
    <t>202130</t>
  </si>
  <si>
    <t>OBJ210187</t>
  </si>
  <si>
    <t>vypratanie a odvoz materiálu z BJ po požiari BD J.Hronca 17</t>
  </si>
  <si>
    <t>OBJ210197</t>
  </si>
  <si>
    <t>výmena keramického obkladu v BD J.Hronca 17</t>
  </si>
  <si>
    <t>2021006</t>
  </si>
  <si>
    <t>2021125</t>
  </si>
  <si>
    <t>Controls s.r.o.</t>
  </si>
  <si>
    <t>50892282</t>
  </si>
  <si>
    <t>OBJ210195</t>
  </si>
  <si>
    <t>odborné prehliadky + skúšky vyhradených technických zariadení  BD J.Hronca 17</t>
  </si>
  <si>
    <t>20210047</t>
  </si>
  <si>
    <t>OBJ210196</t>
  </si>
  <si>
    <t>2021098</t>
  </si>
  <si>
    <t>OBJ210184</t>
  </si>
  <si>
    <t>oprava krovu a zhorenej strechy na BD J.Hronca 17</t>
  </si>
  <si>
    <t>20211062</t>
  </si>
  <si>
    <t>OBJ210180</t>
  </si>
  <si>
    <t>služby BOZP v BD J.Hronca 17</t>
  </si>
  <si>
    <t>210568</t>
  </si>
  <si>
    <t>OaU: maľovanie, vyčistenie SP, pripojenie stavebného rozvádzača na SP, výmena pláv.podlahy v BD J.Hronca 17</t>
  </si>
  <si>
    <t>202131</t>
  </si>
  <si>
    <t>OBJ210188</t>
  </si>
  <si>
    <t>odstránenie havárií na strechách BD ul. Korzo, Petzvalová, Košická</t>
  </si>
  <si>
    <t>162021</t>
  </si>
  <si>
    <t>Ing. Roman Mokoš</t>
  </si>
  <si>
    <t>50389734</t>
  </si>
  <si>
    <t>OBJ210194</t>
  </si>
  <si>
    <t>výmena kuchynskej linky 2x, položenie plávajúcej podlahy 2x BD Košická, Korzo, Bratislavská</t>
  </si>
  <si>
    <t>19122021</t>
  </si>
  <si>
    <t>Gabriel Troščák</t>
  </si>
  <si>
    <t>OBJ210190</t>
  </si>
  <si>
    <t>montáž sprch.kúta, sanity, elektriky, bojlera, obkladačiek + dlažby BD Bratislavská</t>
  </si>
  <si>
    <t>20122021</t>
  </si>
  <si>
    <t>OBJ210191</t>
  </si>
  <si>
    <t>montáž kuchynskej linky BD Korzo</t>
  </si>
  <si>
    <t>21122021</t>
  </si>
  <si>
    <t>OBJ210193</t>
  </si>
  <si>
    <t>výmena bytového jadra BD Tatranská</t>
  </si>
  <si>
    <t>DFH210044</t>
  </si>
  <si>
    <t>DFH210045</t>
  </si>
  <si>
    <t>210537</t>
  </si>
  <si>
    <t>preddavok el. energia 12/2021-  Hollého</t>
  </si>
  <si>
    <t>210559</t>
  </si>
  <si>
    <t>výkon správy .ZŠ Hollého 66  za  12/2021</t>
  </si>
  <si>
    <t>DFZ210120</t>
  </si>
  <si>
    <t>DFZ210121</t>
  </si>
  <si>
    <t>DFZ210122</t>
  </si>
  <si>
    <t>DFZ210123</t>
  </si>
  <si>
    <t>22.12.2021</t>
  </si>
  <si>
    <t>1210727</t>
  </si>
  <si>
    <t>EKOPROFIL, s.r.o.</t>
  </si>
  <si>
    <t>36773727</t>
  </si>
  <si>
    <t>OBJ210172</t>
  </si>
  <si>
    <t>výmena skiel</t>
  </si>
  <si>
    <t>5122021</t>
  </si>
  <si>
    <t>FinCOR, s.r.o.</t>
  </si>
  <si>
    <t>45409587</t>
  </si>
  <si>
    <t>dodanie a inštalácia odtokových žľabov na hlavnej hale ZŠ</t>
  </si>
  <si>
    <t>10210573</t>
  </si>
  <si>
    <t>OBJ210178</t>
  </si>
  <si>
    <t>servis vzduchotechnických zariadení ZŠ</t>
  </si>
  <si>
    <t>210558</t>
  </si>
  <si>
    <t>výkon správy ZŠ za 12/2021</t>
  </si>
  <si>
    <t>DF2100854</t>
  </si>
  <si>
    <t>DF2100855</t>
  </si>
  <si>
    <t>DF2100856</t>
  </si>
  <si>
    <t>DF2100857</t>
  </si>
  <si>
    <t>DF2100858</t>
  </si>
  <si>
    <t>DF2100859</t>
  </si>
  <si>
    <t>DF2100860</t>
  </si>
  <si>
    <t>DF2100861</t>
  </si>
  <si>
    <t>DF2100862</t>
  </si>
  <si>
    <t>DF2100863</t>
  </si>
  <si>
    <t>DF2100864</t>
  </si>
  <si>
    <t>DF2100865</t>
  </si>
  <si>
    <t>DF2100866</t>
  </si>
  <si>
    <t>DF2100867</t>
  </si>
  <si>
    <t>DF2100868</t>
  </si>
  <si>
    <t>DF2100869</t>
  </si>
  <si>
    <t>DF2100870</t>
  </si>
  <si>
    <t>DF2100871</t>
  </si>
  <si>
    <t>DF2100872</t>
  </si>
  <si>
    <t>DF2100873</t>
  </si>
  <si>
    <t>DF2100874</t>
  </si>
  <si>
    <t>DF2100875</t>
  </si>
  <si>
    <t>DF2100876</t>
  </si>
  <si>
    <t>DF2100877</t>
  </si>
  <si>
    <t>DF2100878</t>
  </si>
  <si>
    <t>DF2100879</t>
  </si>
  <si>
    <t>DF2100880</t>
  </si>
  <si>
    <t>DF2100881</t>
  </si>
  <si>
    <t>DF2100882</t>
  </si>
  <si>
    <t>DF2100883</t>
  </si>
  <si>
    <t>DF2100884</t>
  </si>
  <si>
    <t>DF2100885</t>
  </si>
  <si>
    <t>DF2100886</t>
  </si>
  <si>
    <t>DF2100887</t>
  </si>
  <si>
    <t>DF2100888</t>
  </si>
  <si>
    <t>DF2100889</t>
  </si>
  <si>
    <t>DF2100890</t>
  </si>
  <si>
    <t>DF2100891</t>
  </si>
  <si>
    <t>DF2100892</t>
  </si>
  <si>
    <t>DF2100893</t>
  </si>
  <si>
    <t>DF2100894</t>
  </si>
  <si>
    <t>DF2100895</t>
  </si>
  <si>
    <t>DF2100896</t>
  </si>
  <si>
    <t>DF2100897</t>
  </si>
  <si>
    <t>DF2100898</t>
  </si>
  <si>
    <t>DF2100899</t>
  </si>
  <si>
    <t>DF2100900</t>
  </si>
  <si>
    <t>DF2100901</t>
  </si>
  <si>
    <t>DF2100902</t>
  </si>
  <si>
    <t>DF2100903</t>
  </si>
  <si>
    <t>DF2100904</t>
  </si>
  <si>
    <t>DF2100905</t>
  </si>
  <si>
    <t>DF2100906</t>
  </si>
  <si>
    <t>DF2100907</t>
  </si>
  <si>
    <t>DF2100908</t>
  </si>
  <si>
    <t>DF2100909</t>
  </si>
  <si>
    <t>DF2100910</t>
  </si>
  <si>
    <t>DF2100911</t>
  </si>
  <si>
    <t>DF2100912</t>
  </si>
  <si>
    <t>DF2100913</t>
  </si>
  <si>
    <t>DF2100914</t>
  </si>
  <si>
    <t>DF2100915</t>
  </si>
  <si>
    <t>DF2100916</t>
  </si>
  <si>
    <t>DF2100917</t>
  </si>
  <si>
    <t>DF2100918</t>
  </si>
  <si>
    <t>DF2100919</t>
  </si>
  <si>
    <t>DF2100920</t>
  </si>
  <si>
    <t>DF2100921</t>
  </si>
  <si>
    <t>DF2100922</t>
  </si>
  <si>
    <t>DF2100923</t>
  </si>
  <si>
    <t>DF2100924</t>
  </si>
  <si>
    <t>DF2100925</t>
  </si>
  <si>
    <t>DFH210046</t>
  </si>
  <si>
    <t>DFH210047</t>
  </si>
  <si>
    <t>DFH210048</t>
  </si>
  <si>
    <t>DFZ210124</t>
  </si>
  <si>
    <t>DFZ210125</t>
  </si>
  <si>
    <t>DFZ210126</t>
  </si>
  <si>
    <t>DFZ210127</t>
  </si>
  <si>
    <t>DFZ210128</t>
  </si>
  <si>
    <t>3211088551</t>
  </si>
  <si>
    <t>vodné, zimný štadión  HK   12/2021</t>
  </si>
  <si>
    <t>210604</t>
  </si>
  <si>
    <t>321187054</t>
  </si>
  <si>
    <t>elektrická energia 12/2021 zimný štadion</t>
  </si>
  <si>
    <t>4584080018</t>
  </si>
  <si>
    <t>teplo zimný štadión   12/2021</t>
  </si>
  <si>
    <t>4702591221</t>
  </si>
  <si>
    <t>210580</t>
  </si>
  <si>
    <t>refakturácia vodného, stočného r.2021 areál Hollého</t>
  </si>
  <si>
    <t>210575</t>
  </si>
  <si>
    <t>refakturácia spotreby el.energie r.2021 areál Hollého</t>
  </si>
  <si>
    <t>210610</t>
  </si>
  <si>
    <t>refakturácia spotreby plynu r.2021 areál Hollého</t>
  </si>
  <si>
    <t>paušálna odmena za 12/2021</t>
  </si>
  <si>
    <t>20220005</t>
  </si>
  <si>
    <t>9247941462</t>
  </si>
  <si>
    <t>služby VTZ 12/21</t>
  </si>
  <si>
    <t>20211150</t>
  </si>
  <si>
    <t>210100793</t>
  </si>
  <si>
    <t>výmena guloveho kohuta k vodomeru na SV s rádiomodulmi v BD Predmestská 86</t>
  </si>
  <si>
    <t>210100792</t>
  </si>
  <si>
    <t xml:space="preserve">výmena guloveho kohuta k vodomeru na SV s rádiomodulmi v BD Kempelenova 45 </t>
  </si>
  <si>
    <t>210100791</t>
  </si>
  <si>
    <t>výmena polšrúbenia k vodomeru na SV s rádiomodulmi v BD Kempelenova 29</t>
  </si>
  <si>
    <t>210100794</t>
  </si>
  <si>
    <t>výmena guloveho kohuta k vodomeru na SV s rádiomodulmi v BD Košická 2A</t>
  </si>
  <si>
    <t>pripojovací poplatok v BD Jedlíkova 6</t>
  </si>
  <si>
    <t>210567</t>
  </si>
  <si>
    <t>210566</t>
  </si>
  <si>
    <t>vyúčt.elektrickej energie v BD Pri Rajčianke</t>
  </si>
  <si>
    <t>Jozef Solárik - ELPAS s.r.o.</t>
  </si>
  <si>
    <t>53718925</t>
  </si>
  <si>
    <t>OBJ210192</t>
  </si>
  <si>
    <t xml:space="preserve">oprava elektroinštalácie, oprava dverí v BD Košická 2A, Bratislavská </t>
  </si>
  <si>
    <t>OBJ210189</t>
  </si>
  <si>
    <t>výmena vchodových dverí v BD Veľká Okružná</t>
  </si>
  <si>
    <t>15222522</t>
  </si>
  <si>
    <t>revízie výťahov 12/2021</t>
  </si>
  <si>
    <t>210571</t>
  </si>
  <si>
    <t>vyúčt.elektrickej energie v BD a NP</t>
  </si>
  <si>
    <t>210572</t>
  </si>
  <si>
    <t>preddavky plynu v BD a NP</t>
  </si>
  <si>
    <t>210573</t>
  </si>
  <si>
    <t>upratovanie v priestoroch BD</t>
  </si>
  <si>
    <t>20211254</t>
  </si>
  <si>
    <t>monitoring prevádzkových stavov plynovej kotolne Horný Val za 12/21</t>
  </si>
  <si>
    <t>210569</t>
  </si>
  <si>
    <t>vyúčt.elektrickej energie v BD Horný Val</t>
  </si>
  <si>
    <t>strážna služby 12/2021 BD Košická 2A</t>
  </si>
  <si>
    <t>2100092</t>
  </si>
  <si>
    <t>17203649</t>
  </si>
  <si>
    <t>210576</t>
  </si>
  <si>
    <t xml:space="preserve">refakt.teplo v BD Predmestská </t>
  </si>
  <si>
    <t>7216549020</t>
  </si>
  <si>
    <t>vyúčt.elektrická energia r.2021</t>
  </si>
  <si>
    <t>210595</t>
  </si>
  <si>
    <t>refakt.nákladov na telefóny vo výťahoch</t>
  </si>
  <si>
    <t>210594</t>
  </si>
  <si>
    <t>vyúčt.elektr.energie r.2021 Moyzesova 28</t>
  </si>
  <si>
    <t>210581</t>
  </si>
  <si>
    <t>spracovanie poštových poukazov 12/21</t>
  </si>
  <si>
    <t>7222027017</t>
  </si>
  <si>
    <t>210578</t>
  </si>
  <si>
    <t>vyúčt.nákladov elektrickej energie v BD, NP</t>
  </si>
  <si>
    <t>7221820016</t>
  </si>
  <si>
    <t>7218163019</t>
  </si>
  <si>
    <t>7218323016</t>
  </si>
  <si>
    <t>4539776063</t>
  </si>
  <si>
    <t>7222337016</t>
  </si>
  <si>
    <t>7221500020</t>
  </si>
  <si>
    <t>7221696018</t>
  </si>
  <si>
    <t>7222022017</t>
  </si>
  <si>
    <t>7216242016</t>
  </si>
  <si>
    <t>7216377017</t>
  </si>
  <si>
    <t>7218274017</t>
  </si>
  <si>
    <t>7222042017</t>
  </si>
  <si>
    <t>7217555021</t>
  </si>
  <si>
    <t>7217226019</t>
  </si>
  <si>
    <t>7217693018</t>
  </si>
  <si>
    <t>7216967017</t>
  </si>
  <si>
    <t>7218181019</t>
  </si>
  <si>
    <t>7217020019</t>
  </si>
  <si>
    <t>7221778018</t>
  </si>
  <si>
    <t>7216577020</t>
  </si>
  <si>
    <t>7222386018</t>
  </si>
  <si>
    <t>7222003016</t>
  </si>
  <si>
    <t>7221856021</t>
  </si>
  <si>
    <t>199312210</t>
  </si>
  <si>
    <t>vyúčt.dodávok tepla 12/21</t>
  </si>
  <si>
    <t>210614</t>
  </si>
  <si>
    <t>vyúčt.elektr.energie r.2021 Jedlíkova, Petzvalova</t>
  </si>
  <si>
    <t>210607</t>
  </si>
  <si>
    <t>priamy elektromer v BD Jedlíkova</t>
  </si>
  <si>
    <t>210600</t>
  </si>
  <si>
    <t xml:space="preserve">vodoinštalačné práce v BD </t>
  </si>
  <si>
    <t>210612</t>
  </si>
  <si>
    <t>refakt.nákladov na vodné, stočné r.2021</t>
  </si>
  <si>
    <t>210609</t>
  </si>
  <si>
    <t>refakt.elektr.energie r.2021</t>
  </si>
  <si>
    <t>210597</t>
  </si>
  <si>
    <t>vodné, stočné a prevádzka rozvodných sietí a kanalizácií ul.Košická 4.Q/21</t>
  </si>
  <si>
    <t>210599</t>
  </si>
  <si>
    <t>opravy a údržba v BD a NP</t>
  </si>
  <si>
    <t>210598</t>
  </si>
  <si>
    <t>OaU: maľovanie, opravy, odvoz zmesového odpadu, zapojenie sporáka v BD</t>
  </si>
  <si>
    <t>210602</t>
  </si>
  <si>
    <t>refakt.nákladov na vodné, stočné r.2021 v BD</t>
  </si>
  <si>
    <t>210605</t>
  </si>
  <si>
    <t>refakt.nákladov na plyn v BD r.2021</t>
  </si>
  <si>
    <t>210622</t>
  </si>
  <si>
    <t>210621</t>
  </si>
  <si>
    <t>upratovanie priestorov v BD</t>
  </si>
  <si>
    <t>210623</t>
  </si>
  <si>
    <t>vyúčt.nákladov spoených s užívaním bytov, NP a garáží r.2020</t>
  </si>
  <si>
    <t>210625</t>
  </si>
  <si>
    <t>210624</t>
  </si>
  <si>
    <t>energie: elektr.en., plyn Košická 12/2021</t>
  </si>
  <si>
    <t>Ladislav Belanec</t>
  </si>
  <si>
    <t>12402021</t>
  </si>
  <si>
    <t>čiast.refakt.nákl.na zakúpenie kuchynskej linky</t>
  </si>
  <si>
    <t>služby právne, notárske</t>
  </si>
  <si>
    <t>4652019</t>
  </si>
  <si>
    <t>292019</t>
  </si>
  <si>
    <t>5892021</t>
  </si>
  <si>
    <t>doplatok za služby právne, notárske</t>
  </si>
  <si>
    <t>upovedomenie o zastavení starej exekúcie</t>
  </si>
  <si>
    <t>199310</t>
  </si>
  <si>
    <t>199311</t>
  </si>
  <si>
    <t>199312</t>
  </si>
  <si>
    <t>import zálohy na teplo 10/12</t>
  </si>
  <si>
    <t>import zálohy na teplo 11/12</t>
  </si>
  <si>
    <t>import zálohy na teplo 12/12</t>
  </si>
  <si>
    <t>221200087</t>
  </si>
  <si>
    <t>Popl.za správu bytov: Timravy, Tulská, Minčolská, Bôrická cesta, Bajzová, Gabajová 01/22</t>
  </si>
  <si>
    <t>220001</t>
  </si>
  <si>
    <t>17203726</t>
  </si>
  <si>
    <t>17203738</t>
  </si>
  <si>
    <t>17203759</t>
  </si>
  <si>
    <t>17203876</t>
  </si>
  <si>
    <t>17203893</t>
  </si>
  <si>
    <t>strážna služby 01/22 BD Košická 2A</t>
  </si>
  <si>
    <t>220006</t>
  </si>
  <si>
    <t>20220009</t>
  </si>
  <si>
    <t>paušálna odmena za 01/22</t>
  </si>
  <si>
    <t>20220064</t>
  </si>
  <si>
    <t>monitoring prevádzkových stavov plynovej kotolne Horný Val za 01/22</t>
  </si>
  <si>
    <t>20220099</t>
  </si>
  <si>
    <t>oprava tlaku v UK</t>
  </si>
  <si>
    <t>220024</t>
  </si>
  <si>
    <t>materiál na opravy a údržbu v BD a NP</t>
  </si>
  <si>
    <t>220011</t>
  </si>
  <si>
    <t>správa bytov a nebyt.priestorov, vedenie účtov kúpnych zmlúv 01/22</t>
  </si>
  <si>
    <t>220027</t>
  </si>
  <si>
    <t>220025</t>
  </si>
  <si>
    <t>refakt.plyn, elektr.energia v BD</t>
  </si>
  <si>
    <t>220005</t>
  </si>
  <si>
    <t xml:space="preserve">refakt.nákl.na pripojovací poplatok </t>
  </si>
  <si>
    <t>220003</t>
  </si>
  <si>
    <t>preddavky spotreby plynu v BD 01/22</t>
  </si>
  <si>
    <t>preddavky spotreby plynu v BD 02/22</t>
  </si>
  <si>
    <t>202221</t>
  </si>
  <si>
    <t>Igor Kulla - Hymana</t>
  </si>
  <si>
    <t>OBJ210177</t>
  </si>
  <si>
    <t>posudky strešných plášťov na BD</t>
  </si>
  <si>
    <t>40220036</t>
  </si>
  <si>
    <t>17203798</t>
  </si>
  <si>
    <t>2975336443</t>
  </si>
  <si>
    <t>2004413569</t>
  </si>
  <si>
    <t>0883681447</t>
  </si>
  <si>
    <t>9349875709</t>
  </si>
  <si>
    <t>6077041611</t>
  </si>
  <si>
    <t>1742446063</t>
  </si>
  <si>
    <t>17203823</t>
  </si>
  <si>
    <t>17203824</t>
  </si>
  <si>
    <t>17203844</t>
  </si>
  <si>
    <t>zmluvný servis výťahov 01/22</t>
  </si>
  <si>
    <t>6632485675</t>
  </si>
  <si>
    <t>4539776064</t>
  </si>
  <si>
    <t>0761780204</t>
  </si>
  <si>
    <t>22120067</t>
  </si>
  <si>
    <t>17203932</t>
  </si>
  <si>
    <t>199301220</t>
  </si>
  <si>
    <t>vyúčt..tepelná energia v BD 01/22</t>
  </si>
  <si>
    <t>220031</t>
  </si>
  <si>
    <t>220041</t>
  </si>
  <si>
    <t>220038</t>
  </si>
  <si>
    <t>OaU v BD a NP: upchaté kanal.potrubie, nákup dverí a prispôsobenie, vymaľovanie, odstránenie úniku vody</t>
  </si>
  <si>
    <t>220032</t>
  </si>
  <si>
    <t>refakt.teplo v BD Predmestská</t>
  </si>
  <si>
    <t>220033</t>
  </si>
  <si>
    <t>spracovanie poštových poukazov 01/22</t>
  </si>
  <si>
    <t>220034</t>
  </si>
  <si>
    <t>220036</t>
  </si>
  <si>
    <t>preddavky na vodné, stočné 02/22</t>
  </si>
  <si>
    <t>220035</t>
  </si>
  <si>
    <t>vyúčt. spotreby el.energie v BD, NP</t>
  </si>
  <si>
    <t>220018</t>
  </si>
  <si>
    <t>výkon správy .ZŠ Hollého 66  za   01/2022</t>
  </si>
  <si>
    <t>výkon správy .ZŠ Hollého 66  za   02/2022</t>
  </si>
  <si>
    <t>32022</t>
  </si>
  <si>
    <t>220060</t>
  </si>
  <si>
    <t>prevádzka plynovej kotolne 01/22</t>
  </si>
  <si>
    <t>vyúčt.spotreby vodného, stočného r.2021 BD Karpatská</t>
  </si>
  <si>
    <t>2022010</t>
  </si>
  <si>
    <t>8357453714</t>
  </si>
  <si>
    <t>7291486525</t>
  </si>
  <si>
    <t>8715281369</t>
  </si>
  <si>
    <t>20220126</t>
  </si>
  <si>
    <t>doplnenie tlaku a reset kotlov</t>
  </si>
  <si>
    <t>15224842</t>
  </si>
  <si>
    <t>zmluvný servis výťahov 02/22</t>
  </si>
  <si>
    <t>17204002</t>
  </si>
  <si>
    <t>20220139</t>
  </si>
  <si>
    <t>20220080</t>
  </si>
  <si>
    <t>OBJ220011</t>
  </si>
  <si>
    <t>kontrola has.prístrojov, požiarnych vodovodov</t>
  </si>
  <si>
    <t>správa bytov a nebyt.priestorov, vedenie účtov kúpnych zmlúv 02/22</t>
  </si>
  <si>
    <t>220053</t>
  </si>
  <si>
    <t>220065</t>
  </si>
  <si>
    <t>popl.za vyhotovenie zmlúv o prevode</t>
  </si>
  <si>
    <t>40220146</t>
  </si>
  <si>
    <t>servisné práce vyhradených technických zariadení</t>
  </si>
  <si>
    <t>pripojovací poplatok</t>
  </si>
  <si>
    <t>2520220001</t>
  </si>
  <si>
    <t>220045</t>
  </si>
  <si>
    <t>220044</t>
  </si>
  <si>
    <t>220046</t>
  </si>
  <si>
    <t>OaU: elektroinštalačné práce</t>
  </si>
  <si>
    <t>energie: el.en.,plyn v BD Košická 01/22</t>
  </si>
  <si>
    <t>predd.spotreby energií:plyn 02/2022 v BD a NP</t>
  </si>
  <si>
    <t>preddavky na el.energiu 02/22 v BD a NP</t>
  </si>
  <si>
    <t>OBJ220001</t>
  </si>
  <si>
    <t>OBJ220003</t>
  </si>
  <si>
    <t>OBJ220005</t>
  </si>
  <si>
    <t>OBJ220004</t>
  </si>
  <si>
    <t>OBJ220002</t>
  </si>
  <si>
    <t>Dátum zaevidovania</t>
  </si>
  <si>
    <t xml:space="preserve">Adresa </t>
  </si>
  <si>
    <t>Tulská 33, 010 08  Žilina</t>
  </si>
  <si>
    <t>Nanterská 8399/29, 010 08  Žilina</t>
  </si>
  <si>
    <t>Vajnorská 100/A, 831 04  Bratislava -Nové Mesto</t>
  </si>
  <si>
    <t>zmluva Z039/2022</t>
  </si>
  <si>
    <t>Hollého 66, 036 01  Martin</t>
  </si>
  <si>
    <t>zmluva Z439/2021</t>
  </si>
  <si>
    <t>Jána Milca 8, 010 01  Žilina</t>
  </si>
  <si>
    <t>zmluva o poskytovaní právnych služieb Z501/2021</t>
  </si>
  <si>
    <t>zmluva o poskytovaní služieb pri správe, údržbe a servise techn.zariadenia Z025/2017</t>
  </si>
  <si>
    <t>Bratislavská 613/16, 010 01  Žilina</t>
  </si>
  <si>
    <t>Pavla Orságha Hviezdoslava, 010 01 Žilina</t>
  </si>
  <si>
    <t>Limbová 2/3054, 010 07  Žilina</t>
  </si>
  <si>
    <t>Pri Rajčianke 8591/48, 010 47  Žilina</t>
  </si>
  <si>
    <t>zmluva Z618/2020</t>
  </si>
  <si>
    <t>Saleziánska 4, 010 77  Žilina</t>
  </si>
  <si>
    <t>zmluva o dodávke tepla Z267-269/2019, Z271-281/2019, Z282-286/2019, Z304/2019</t>
  </si>
  <si>
    <t>Karpatská 8063/11, 010 08  Žilina</t>
  </si>
  <si>
    <t>zmluva Z020/2020</t>
  </si>
  <si>
    <t>Škultétyho 78, 010 01  Žilina</t>
  </si>
  <si>
    <t>3622323321</t>
  </si>
  <si>
    <t>0146996046</t>
  </si>
  <si>
    <t>4730046200</t>
  </si>
  <si>
    <t>9108243198</t>
  </si>
  <si>
    <t>4490998327</t>
  </si>
  <si>
    <t>0376032520</t>
  </si>
  <si>
    <t>5758787658</t>
  </si>
  <si>
    <t>5519739774</t>
  </si>
  <si>
    <t>7050760292</t>
  </si>
  <si>
    <t>9873753454</t>
  </si>
  <si>
    <t>3199025689</t>
  </si>
  <si>
    <t>3462256870</t>
  </si>
  <si>
    <t>2022011</t>
  </si>
  <si>
    <t>Veľká Okružná 1295/6, 010 01  Žilina</t>
  </si>
  <si>
    <t>OBJ220010</t>
  </si>
  <si>
    <t>podanie návrhu na OS</t>
  </si>
  <si>
    <t>2022009</t>
  </si>
  <si>
    <t>2022008</t>
  </si>
  <si>
    <t>2022007</t>
  </si>
  <si>
    <t>2022006</t>
  </si>
  <si>
    <t>2022005</t>
  </si>
  <si>
    <t>2022004</t>
  </si>
  <si>
    <t>2022003</t>
  </si>
  <si>
    <t>2022002</t>
  </si>
  <si>
    <t>220012</t>
  </si>
  <si>
    <t>Viktor Janček</t>
  </si>
  <si>
    <t>20220178</t>
  </si>
  <si>
    <t>monitoring prevádzkových stavov plynovej kotolne Horný Val za 02/22</t>
  </si>
  <si>
    <t>4539776065</t>
  </si>
  <si>
    <t>20220154</t>
  </si>
  <si>
    <t>Jura Hronca 3421/6, 010 015  Žilina</t>
  </si>
  <si>
    <t>zmluva Z154/2021</t>
  </si>
  <si>
    <t>služby VTZ 02/2022</t>
  </si>
  <si>
    <t>17821</t>
  </si>
  <si>
    <t>Mgr. Milan Somík, súdny exekútor</t>
  </si>
  <si>
    <t>JUDr. Stanislava Hulmanová Janušová, súdny exekútor</t>
  </si>
  <si>
    <t>Československej armády 1, 036 01  Martin</t>
  </si>
  <si>
    <t>náhrada trov, zastavenie exekúcie</t>
  </si>
  <si>
    <t>220075</t>
  </si>
  <si>
    <t>220076</t>
  </si>
  <si>
    <t>refaktur.tepla v BD Predmestská</t>
  </si>
  <si>
    <t>220077</t>
  </si>
  <si>
    <t>refakt.nákl.na spotrebu energií v BD Kemplenova, J.Hronca, Jedlíkova</t>
  </si>
  <si>
    <t>220078</t>
  </si>
  <si>
    <t>220079</t>
  </si>
  <si>
    <t>220067</t>
  </si>
  <si>
    <t>monitoring kanalizačnej siete objektov</t>
  </si>
  <si>
    <t>220074</t>
  </si>
  <si>
    <t>poštové poukazy</t>
  </si>
  <si>
    <t>220068</t>
  </si>
  <si>
    <t>220072</t>
  </si>
  <si>
    <t>220082</t>
  </si>
  <si>
    <t>refakt.nákl.na spotrebu energií v BD Kempelenova, Bratislavská, Borová</t>
  </si>
  <si>
    <t>preddavky plynu OM</t>
  </si>
  <si>
    <t>220071</t>
  </si>
  <si>
    <t>2022015</t>
  </si>
  <si>
    <t>Ing. Tibor Latko - LAROKS</t>
  </si>
  <si>
    <t>Žltá 1043/23, 010 03  Žilina</t>
  </si>
  <si>
    <t>OBJ220008</t>
  </si>
  <si>
    <t>dodávka a výmena vstupných dverí v BD</t>
  </si>
  <si>
    <t>Jána Vojtaššáka 10/15, 010 08  Žilina</t>
  </si>
  <si>
    <t>OBJ220007</t>
  </si>
  <si>
    <t>vypracovanie znaleckého posudku</t>
  </si>
  <si>
    <t>20220014</t>
  </si>
  <si>
    <t>paušálna odmena za 02/22</t>
  </si>
  <si>
    <t>22120127</t>
  </si>
  <si>
    <t>popl.za správu bytov: Timravy, Tulská, Minčolská, Bôrická cesta, Bajzová, Gabajová 01/22</t>
  </si>
  <si>
    <t>20220216</t>
  </si>
  <si>
    <t>17204114</t>
  </si>
  <si>
    <t>20220226</t>
  </si>
  <si>
    <t>oprava osvetlenia</t>
  </si>
  <si>
    <t>výmena poistného ventilu na UK</t>
  </si>
  <si>
    <t>220081</t>
  </si>
  <si>
    <t>220085</t>
  </si>
  <si>
    <t>OaU v BD a NP: vymaľovanie BJ,výmena sanity, výmena dverí, oprava WC, výmena batérií, podlahy,..</t>
  </si>
  <si>
    <t>220087</t>
  </si>
  <si>
    <t>OaU v BD a NP: vymaľovanie schodiska</t>
  </si>
  <si>
    <t>199302220</t>
  </si>
  <si>
    <t>vyúčt..tepelná energia v BD 02/22</t>
  </si>
  <si>
    <t>refakt.preddavky na  vodné, stočné 03/22</t>
  </si>
  <si>
    <t>220083</t>
  </si>
  <si>
    <t>refakt.preddavky na el.energiu 03/22</t>
  </si>
  <si>
    <t>1751373250</t>
  </si>
  <si>
    <t>1793821107</t>
  </si>
  <si>
    <t>17204159</t>
  </si>
  <si>
    <t>17204166</t>
  </si>
  <si>
    <t>220088</t>
  </si>
  <si>
    <t>refakt.nákl.na odber el.energie v BD Košická 02/22</t>
  </si>
  <si>
    <t>220089</t>
  </si>
  <si>
    <t>refakt.nákl.na spotrebu energií v BD Korzo</t>
  </si>
  <si>
    <t>199313210</t>
  </si>
  <si>
    <t>vyúčtovanie nákladov za spotrebu tepla 2021</t>
  </si>
  <si>
    <t>2982021</t>
  </si>
  <si>
    <t>Komunálna poisťovňa, a.s.</t>
  </si>
  <si>
    <t>Štefánikova 17, 811 05  Bratislava</t>
  </si>
  <si>
    <t>31595545</t>
  </si>
  <si>
    <t>zmluva Z298/2021</t>
  </si>
  <si>
    <t>poistenie majetku 1Q/2021</t>
  </si>
  <si>
    <t>322012</t>
  </si>
  <si>
    <t>Námestie A.Hlinku 816/3, 010 01  Žilina</t>
  </si>
  <si>
    <t>45654395</t>
  </si>
  <si>
    <t>OBJ220015</t>
  </si>
  <si>
    <t>spracovanie podkladov k určeniu trhovej hodnoty majetku</t>
  </si>
  <si>
    <t>Antona Bernoláka 2170/45, 010 01  Žilina</t>
  </si>
  <si>
    <t>zmluva Z004/2022</t>
  </si>
  <si>
    <t>prevádzka plynovej kotolne 02/22</t>
  </si>
  <si>
    <t>142022</t>
  </si>
  <si>
    <t>prevádzka plynovej kotolne 03/22</t>
  </si>
  <si>
    <t>220104</t>
  </si>
  <si>
    <t>výkon správy .ZŠ Hollého 66  za   03/2022</t>
  </si>
  <si>
    <t>4938322452</t>
  </si>
  <si>
    <t>1022022</t>
  </si>
  <si>
    <t>Trnavská 2998/2, 010 08  Žilina</t>
  </si>
  <si>
    <t>OBJ220006</t>
  </si>
  <si>
    <t>montáž kuchynskej linky a obkladu</t>
  </si>
  <si>
    <t>OBJ220018</t>
  </si>
  <si>
    <t>oprava bytovej jednotky</t>
  </si>
  <si>
    <t>3032022</t>
  </si>
  <si>
    <t>4032022</t>
  </si>
  <si>
    <t>OBJ220020</t>
  </si>
  <si>
    <t>montáž prietokového ohrievača</t>
  </si>
  <si>
    <t>5032022</t>
  </si>
  <si>
    <t>2022001</t>
  </si>
  <si>
    <t>Dolné Rudiny 1</t>
  </si>
  <si>
    <t>Zmluva o dielo č. Z523/21</t>
  </si>
  <si>
    <t>oprava havarijného stavu bytového domu J.Hronca 17 (po požiari)</t>
  </si>
  <si>
    <t>2022019</t>
  </si>
  <si>
    <t>OBJ220016</t>
  </si>
  <si>
    <t>oprava fasády bytového domu J.Hronca 17 (po požiari)</t>
  </si>
  <si>
    <t>1020220007</t>
  </si>
  <si>
    <t>Povina č.99, 023 33 Povina</t>
  </si>
  <si>
    <t>OBJ220012</t>
  </si>
  <si>
    <t>oprava a výmena elektroinštaláciev BD J.Hronca 17 (po požiari)</t>
  </si>
  <si>
    <t>20220267</t>
  </si>
  <si>
    <t>služby VTZ 03/2022</t>
  </si>
  <si>
    <t>20220275</t>
  </si>
  <si>
    <t>monitoring prevádzkových stavov plynovej kotolne Horný Val za 03/22</t>
  </si>
  <si>
    <t>17204247</t>
  </si>
  <si>
    <t>strážna služby 03/22 BD Košická 2A</t>
  </si>
  <si>
    <t>15225329</t>
  </si>
  <si>
    <t>35683926</t>
  </si>
  <si>
    <t>zmluvný servis výťahov za 03/2022</t>
  </si>
  <si>
    <t>220097</t>
  </si>
  <si>
    <t>správa bytov, nebytových priestorov a vedenie účtov kúpnych zmlúv 03/2022</t>
  </si>
  <si>
    <t>220090</t>
  </si>
  <si>
    <t>22100011</t>
  </si>
  <si>
    <t>LGP parking s.r.o</t>
  </si>
  <si>
    <t>Fibichova 3388, 276 01 Mělník 1</t>
  </si>
  <si>
    <t>pravidelná technická prehliadka 1Q22</t>
  </si>
  <si>
    <t>17204267</t>
  </si>
  <si>
    <t>17204282</t>
  </si>
  <si>
    <t>17204283</t>
  </si>
  <si>
    <t>220121</t>
  </si>
  <si>
    <t>spracovanie poštových poukazov 03/2022</t>
  </si>
  <si>
    <t>220119</t>
  </si>
  <si>
    <t>220120</t>
  </si>
  <si>
    <t>refakt.el.energia v BD Borová 43, Bratislavská 8535, Kempelova 3401, J.Hronca 11, Tatranská 10</t>
  </si>
  <si>
    <t>220118</t>
  </si>
  <si>
    <t>refakt.el.energia v BD Bratislavská 40</t>
  </si>
  <si>
    <t>220115</t>
  </si>
  <si>
    <t>predd.vodne, stočné 04/2022 v BD</t>
  </si>
  <si>
    <t>220114</t>
  </si>
  <si>
    <t>upratovanie priestorov v BD 03/2022</t>
  </si>
  <si>
    <t>220117</t>
  </si>
  <si>
    <t>predd.spotreby energií:plyn 04/2022 v BD a NP</t>
  </si>
  <si>
    <t>6377631301</t>
  </si>
  <si>
    <t>17204420</t>
  </si>
  <si>
    <t>2022030</t>
  </si>
  <si>
    <t>vodné, stočné 2021</t>
  </si>
  <si>
    <t>522022</t>
  </si>
  <si>
    <t>OBJ220019</t>
  </si>
  <si>
    <t>znalecký posudok: ul. Klemensova 1091/5</t>
  </si>
  <si>
    <t>20220025</t>
  </si>
  <si>
    <t>paušálna odmena 03/2022</t>
  </si>
  <si>
    <t>17204359</t>
  </si>
  <si>
    <t>17204362</t>
  </si>
  <si>
    <t>22120187</t>
  </si>
  <si>
    <t>popl.za správu bytov 04/2022</t>
  </si>
  <si>
    <t>220135</t>
  </si>
  <si>
    <t>OaU: vymaľovanie SP</t>
  </si>
  <si>
    <t>220136</t>
  </si>
  <si>
    <t>refakt.el.energia J.Hronca</t>
  </si>
  <si>
    <t>220137</t>
  </si>
  <si>
    <t>220134</t>
  </si>
  <si>
    <t>220123</t>
  </si>
  <si>
    <t>220133</t>
  </si>
  <si>
    <t>220132</t>
  </si>
  <si>
    <t>OaU: materiál na opravu v SP</t>
  </si>
  <si>
    <t>220131</t>
  </si>
  <si>
    <t xml:space="preserve">čistiace prostriedky areál Hollého </t>
  </si>
  <si>
    <t>220130</t>
  </si>
  <si>
    <t>energie:el.en.,plyn v BD Košická 03/22</t>
  </si>
  <si>
    <t>4539776066</t>
  </si>
  <si>
    <t>vyúčt.el.energie Bratislavská: bunky 03/22</t>
  </si>
  <si>
    <t>199303220</t>
  </si>
  <si>
    <t>vyúčt.dodávky tepelnej energie 03/2022</t>
  </si>
  <si>
    <t>220129</t>
  </si>
  <si>
    <t>preddavky na el.energiu 04/22 v BD a NP</t>
  </si>
  <si>
    <t>predpis záloh.úhrad: teplo 1/2022</t>
  </si>
  <si>
    <t>predpis záloh.úhrad: teplo 2/2022</t>
  </si>
  <si>
    <t>predpis záloh.úhrad: teplo 3/2022</t>
  </si>
  <si>
    <t>predpis záloh.úhrad:teplo 4/2022</t>
  </si>
  <si>
    <t>220124</t>
  </si>
  <si>
    <t>refakt.telefóny vo výťahoch v BD</t>
  </si>
  <si>
    <t>220122</t>
  </si>
  <si>
    <t>poplatky za vystavenie upomienok 1-3/2022</t>
  </si>
  <si>
    <t>220128</t>
  </si>
  <si>
    <t>vodné, stočné 1Q/2022</t>
  </si>
  <si>
    <t>2022022</t>
  </si>
  <si>
    <t>OBJ220017</t>
  </si>
  <si>
    <t>vypracovanie realizačného rozpočtu</t>
  </si>
  <si>
    <t>dohoda o refakturácií nákladov č Z020/2020</t>
  </si>
  <si>
    <t>smlouva o provádění sevisní činnosti 15-0501-12-43</t>
  </si>
  <si>
    <t>17204419</t>
  </si>
  <si>
    <t>20220356</t>
  </si>
  <si>
    <t>služby VTZ 04/2022</t>
  </si>
  <si>
    <t>20220372</t>
  </si>
  <si>
    <t>monitoring prev. Stavov plynovej kotolne Horný Val 04/22</t>
  </si>
  <si>
    <t>200024</t>
  </si>
  <si>
    <t>strážna služba 04/2022 BD Košická 2A</t>
  </si>
  <si>
    <t>17204458</t>
  </si>
  <si>
    <t>17204441</t>
  </si>
  <si>
    <t>220144</t>
  </si>
  <si>
    <t>správa bytov, NB a vedenie účtov kúpnych zmlúv 04/2022</t>
  </si>
  <si>
    <t>15226162</t>
  </si>
  <si>
    <t>zmluvy Z039/2022</t>
  </si>
  <si>
    <t>zmluvný servis výťahov za 04/2022</t>
  </si>
  <si>
    <t>15225329a</t>
  </si>
  <si>
    <t>zmluvný servis výťahov za 03/2022 - doúčtovanie</t>
  </si>
  <si>
    <t>220161</t>
  </si>
  <si>
    <t>spracovanie poštových poukazov 04/2022</t>
  </si>
  <si>
    <t>220164</t>
  </si>
  <si>
    <t>predd.vodne, stočné 05/2022 v BD</t>
  </si>
  <si>
    <t>220163</t>
  </si>
  <si>
    <t>predd.spotreby energií: plyn 05/2022 V BD a NP</t>
  </si>
  <si>
    <t>220165</t>
  </si>
  <si>
    <t>refakt.teplo BD Predmestská 4/2022</t>
  </si>
  <si>
    <t>2022019A</t>
  </si>
  <si>
    <t>3622111878</t>
  </si>
  <si>
    <t>Elektrosped, a.s.</t>
  </si>
  <si>
    <t>Diaľničná cesta 6015/12A, 903 01 Senec</t>
  </si>
  <si>
    <t>odsávač pár 10 ks</t>
  </si>
  <si>
    <t>20220034</t>
  </si>
  <si>
    <t>paušálna odmena 04/2022</t>
  </si>
  <si>
    <t>4539776067</t>
  </si>
  <si>
    <t>vyúčt. El. energie Bratislavská: bunky 04/22</t>
  </si>
  <si>
    <t>17204517</t>
  </si>
  <si>
    <t>vajnorská 100/A, 831 04  Bratislava -Nové Mesto</t>
  </si>
  <si>
    <t>17204524</t>
  </si>
  <si>
    <t>199304220</t>
  </si>
  <si>
    <t>22120245</t>
  </si>
  <si>
    <t>popl. za spravu bytov 05/2022</t>
  </si>
  <si>
    <t>17204541</t>
  </si>
  <si>
    <t>17204540</t>
  </si>
  <si>
    <t>17204539</t>
  </si>
  <si>
    <t>17204538</t>
  </si>
  <si>
    <t>17204537</t>
  </si>
  <si>
    <t>17204534</t>
  </si>
  <si>
    <t>17204532</t>
  </si>
  <si>
    <t>dodanie kníh kontrol výťahu</t>
  </si>
  <si>
    <t>220169</t>
  </si>
  <si>
    <t>220167</t>
  </si>
  <si>
    <t>upratovanie v priestoroch BD 04/2022</t>
  </si>
  <si>
    <t>220468</t>
  </si>
  <si>
    <t>OaU: nákup materiálu a opravy porúch</t>
  </si>
  <si>
    <t>220166</t>
  </si>
  <si>
    <t>refakt. Plyn, el. en. BD</t>
  </si>
  <si>
    <t>7688200349</t>
  </si>
  <si>
    <t>odsávač pár 10 ks-dobropis</t>
  </si>
  <si>
    <t>220175</t>
  </si>
  <si>
    <t>energie: el.en.,plyn v BD Košická 04/22</t>
  </si>
  <si>
    <t>220174</t>
  </si>
  <si>
    <t>3622120139</t>
  </si>
  <si>
    <t>odsávač pár 7 ks</t>
  </si>
  <si>
    <t>9540677698</t>
  </si>
  <si>
    <t>súdny poplatok Balážová Andrea</t>
  </si>
  <si>
    <t>202206</t>
  </si>
  <si>
    <t>Neslušská cesta 654, 024 01 Kysucké Nové Mesto</t>
  </si>
  <si>
    <t>35433089</t>
  </si>
  <si>
    <t>OaU: vypratavanie materálu z BJ Kempelenova 37/17</t>
  </si>
  <si>
    <t>22100013</t>
  </si>
  <si>
    <t>výmena lán</t>
  </si>
  <si>
    <t>1386272117</t>
  </si>
  <si>
    <t>František Radzo, súdny exekútor</t>
  </si>
  <si>
    <t>Radlinského 1728/47, 026 01 Dolný Kubín</t>
  </si>
  <si>
    <t>36133019</t>
  </si>
  <si>
    <t>preddavok trovy exe. Vypratanie Kocombova</t>
  </si>
  <si>
    <t>19932201</t>
  </si>
  <si>
    <t>zálohová platba</t>
  </si>
  <si>
    <t>19932202</t>
  </si>
  <si>
    <t>19932203</t>
  </si>
  <si>
    <t>19932204</t>
  </si>
  <si>
    <t>19932205</t>
  </si>
  <si>
    <t>222022</t>
  </si>
  <si>
    <t>prevádzka plynovej kotolne 04/22</t>
  </si>
  <si>
    <t>220151</t>
  </si>
  <si>
    <t>výkon správa .ZŠ Hollého 66 za 4/2022</t>
  </si>
  <si>
    <t>220197</t>
  </si>
  <si>
    <t>výkon správy ZŠ Hollého 66 za 05/2022</t>
  </si>
  <si>
    <t>220177</t>
  </si>
  <si>
    <t>OaU: montáž elektromera a pripojovací poplatok</t>
  </si>
  <si>
    <t>220178</t>
  </si>
  <si>
    <t>220180</t>
  </si>
  <si>
    <t>220183</t>
  </si>
  <si>
    <t>OaU: manteriál na opravu v BD a NP</t>
  </si>
  <si>
    <t>220184</t>
  </si>
  <si>
    <t>220190</t>
  </si>
  <si>
    <t>správa bytov, nebytových priestorov a vedenie účtov kúpnych zmlúv 04/2022</t>
  </si>
  <si>
    <t>3491237107</t>
  </si>
  <si>
    <t xml:space="preserve">súdny poplatok Handák Milan </t>
  </si>
  <si>
    <t>2022425</t>
  </si>
  <si>
    <t xml:space="preserve">JUDr. Ján Franek </t>
  </si>
  <si>
    <t xml:space="preserve">Nešporova 4, 031 01 Liptovský Mikuláš </t>
  </si>
  <si>
    <t>35994045</t>
  </si>
  <si>
    <t>trovy exekúcie Blšták</t>
  </si>
  <si>
    <t>strážna služba BD Košická 05/2022</t>
  </si>
  <si>
    <t>4539776068</t>
  </si>
  <si>
    <t>vyúčt.el.energie Bratislavská: obytný kontajner</t>
  </si>
  <si>
    <t>5883941675</t>
  </si>
  <si>
    <t>podanie návrhu na OS Oravec</t>
  </si>
  <si>
    <t>2856822198</t>
  </si>
  <si>
    <t>podanie návrhu na OS Lacková</t>
  </si>
  <si>
    <t>8169812610</t>
  </si>
  <si>
    <t>podanie návrhu na OS Genšiniaková</t>
  </si>
  <si>
    <t>5083588268</t>
  </si>
  <si>
    <t>podanie návrhu na OS Smieško</t>
  </si>
  <si>
    <t>1495084848</t>
  </si>
  <si>
    <t xml:space="preserve">podanie návrhu na OS Bilions Brokers </t>
  </si>
  <si>
    <t>2215763166</t>
  </si>
  <si>
    <t>podanie návrhu na OS Káčer</t>
  </si>
  <si>
    <t>7047872606</t>
  </si>
  <si>
    <t>podanie návrhu na OS Dobiáš, Štrkáčová</t>
  </si>
  <si>
    <t>1187021710</t>
  </si>
  <si>
    <t>podanie návrhu na OS Rosinčinová</t>
  </si>
  <si>
    <t>2981273424</t>
  </si>
  <si>
    <t>podanie návrhu na OS Ukrop</t>
  </si>
  <si>
    <t>8817941001</t>
  </si>
  <si>
    <t>podanie návrhu na OS Tvrdá</t>
  </si>
  <si>
    <t>6548378758</t>
  </si>
  <si>
    <t>podanie návrhu na OS Krauzová</t>
  </si>
  <si>
    <t>0878209121</t>
  </si>
  <si>
    <t>podanie návrhu na OS Krauz</t>
  </si>
  <si>
    <t>6787426631</t>
  </si>
  <si>
    <t>podanie návrhu na OS Gerlic, Gerliciová</t>
  </si>
  <si>
    <t>5734501876</t>
  </si>
  <si>
    <t>podanie návrhu na OS Bongilajová</t>
  </si>
  <si>
    <t>9562053174</t>
  </si>
  <si>
    <t>podanie návrhu na OS Kováč</t>
  </si>
  <si>
    <t>9399089904</t>
  </si>
  <si>
    <t>podanie návrhu na OS Štrkáč Dušan</t>
  </si>
  <si>
    <t>8609396331</t>
  </si>
  <si>
    <t xml:space="preserve">podanie návrhu na OS Stojková Mária </t>
  </si>
  <si>
    <t>0476197975</t>
  </si>
  <si>
    <t>podanie návrhu na OS Lakatoš, Hrušková</t>
  </si>
  <si>
    <t>9925552284</t>
  </si>
  <si>
    <t>podanie návrhu na OS Hančinová</t>
  </si>
  <si>
    <t>6337048869</t>
  </si>
  <si>
    <t>podanie návrhu na OS Baláž Michal, Ivan, Eva</t>
  </si>
  <si>
    <t>20220040</t>
  </si>
  <si>
    <t>paušálna odmena 05/2022</t>
  </si>
  <si>
    <t>2860189477</t>
  </si>
  <si>
    <t>súdny poplatok Chodelková</t>
  </si>
  <si>
    <t>5752790526</t>
  </si>
  <si>
    <t>súdny poplatok Jakuš, Jakušová</t>
  </si>
  <si>
    <t>5907879174</t>
  </si>
  <si>
    <t xml:space="preserve">súdny poplatok Fratriková </t>
  </si>
  <si>
    <t>6481500285</t>
  </si>
  <si>
    <t>súdny poplatok Bartošová</t>
  </si>
  <si>
    <t>2206624856</t>
  </si>
  <si>
    <t>súdny poplatok Káčer, Káčerová</t>
  </si>
  <si>
    <t>4695044786</t>
  </si>
  <si>
    <t>súdny poplatok Ukrop</t>
  </si>
  <si>
    <t>20220448</t>
  </si>
  <si>
    <t>služby VTZ 05/2022</t>
  </si>
  <si>
    <t>4738858846</t>
  </si>
  <si>
    <t>2612018a</t>
  </si>
  <si>
    <t>JUDr. Lucia Ďuricová</t>
  </si>
  <si>
    <t>Námestie Slobody 59, 022 01 Čadca</t>
  </si>
  <si>
    <t>40758290</t>
  </si>
  <si>
    <t>trovy exekúcie - zastavenie exe Puček</t>
  </si>
  <si>
    <t>20220476</t>
  </si>
  <si>
    <t>monitoring prev.stavov plynovej kotolne Horný Val 05/2022</t>
  </si>
  <si>
    <t>15227352</t>
  </si>
  <si>
    <t>zmluvný servis výťahov za 05/2022</t>
  </si>
  <si>
    <t>17204660</t>
  </si>
  <si>
    <t>oprava výťahu J.Hronca 3365/19</t>
  </si>
  <si>
    <t>17204667</t>
  </si>
  <si>
    <t>oprava výťahu Segnerova 4</t>
  </si>
  <si>
    <t>04032022a</t>
  </si>
  <si>
    <t>oprava BJ Bratislavská 50</t>
  </si>
  <si>
    <t>17204716</t>
  </si>
  <si>
    <t>oprava výťahu J.Hronca 3408/9</t>
  </si>
  <si>
    <t>5612018</t>
  </si>
  <si>
    <t>2092018</t>
  </si>
  <si>
    <t xml:space="preserve">trovy exkúcie - zastavene exe Puček </t>
  </si>
  <si>
    <t>2022012</t>
  </si>
  <si>
    <t>2022013</t>
  </si>
  <si>
    <t>2022014</t>
  </si>
  <si>
    <t>podanie návrhu na OS Káčer, Káčerová</t>
  </si>
  <si>
    <t>2022015a</t>
  </si>
  <si>
    <t>2022016</t>
  </si>
  <si>
    <t>2022017</t>
  </si>
  <si>
    <t>2022018</t>
  </si>
  <si>
    <t>podanie návrhu na OS Genšonáková</t>
  </si>
  <si>
    <t>podanie návrhu na OS Bilons brokers</t>
  </si>
  <si>
    <t>2022019b</t>
  </si>
  <si>
    <t>2022020</t>
  </si>
  <si>
    <t>podanie návrhu na OS Baláž Michal, Ivan</t>
  </si>
  <si>
    <t>2022021</t>
  </si>
  <si>
    <t>2022022a</t>
  </si>
  <si>
    <t>2022023</t>
  </si>
  <si>
    <t>podanie návrhu na OS Gerlici, Gerliciová</t>
  </si>
  <si>
    <t>2022024</t>
  </si>
  <si>
    <t>2022025</t>
  </si>
  <si>
    <t xml:space="preserve">podanie návrhu na OS Bongilajová </t>
  </si>
  <si>
    <t>2022026</t>
  </si>
  <si>
    <t>2022027</t>
  </si>
  <si>
    <t>2022028</t>
  </si>
  <si>
    <t>2022029</t>
  </si>
  <si>
    <t>2022030a</t>
  </si>
  <si>
    <t>2022031</t>
  </si>
  <si>
    <t>199305220</t>
  </si>
  <si>
    <t>22120302</t>
  </si>
  <si>
    <t>popl. za správu bytov 06/2022</t>
  </si>
  <si>
    <t>220209</t>
  </si>
  <si>
    <t>upratovanie v priestoroch BD 05/2022</t>
  </si>
  <si>
    <t>220210</t>
  </si>
  <si>
    <t>spracovanie poštových poukazov 05/2022</t>
  </si>
  <si>
    <t>220214</t>
  </si>
  <si>
    <t>refakt. Energií v bytoch a NP</t>
  </si>
  <si>
    <t>220207</t>
  </si>
  <si>
    <t>refakt. Telefóny vo výťahoch v BD</t>
  </si>
  <si>
    <t>220215</t>
  </si>
  <si>
    <t>predd.spotreby energií: plyn 06/2022 V BD a NP</t>
  </si>
  <si>
    <t>4813198720</t>
  </si>
  <si>
    <t>pavla Orságha Hviezdoslava, 010 01 Žilina</t>
  </si>
  <si>
    <t>3593809209</t>
  </si>
  <si>
    <t>podanie návrhu na OS Strmeňová</t>
  </si>
  <si>
    <t>2052021</t>
  </si>
  <si>
    <t>Exekútorský úrad, JUDr. Miroslav Šutliak, EÚ Liptovský Mikuláš</t>
  </si>
  <si>
    <t>M.M.Hodžu 4058/28,03101 Liptovský Mikuláš</t>
  </si>
  <si>
    <t>37901532</t>
  </si>
  <si>
    <t>poplatok za zrušenie exekúcie</t>
  </si>
  <si>
    <t>562021</t>
  </si>
  <si>
    <t>17204750</t>
  </si>
  <si>
    <t>oprava výťahu J.Hronca 3365/21</t>
  </si>
  <si>
    <t>kontrola požiarných vodovodov</t>
  </si>
  <si>
    <t>220218</t>
  </si>
  <si>
    <t>predd.vodné, stočné 6/2022 v BD</t>
  </si>
  <si>
    <t>220216</t>
  </si>
  <si>
    <t>refakt. Teplo BD predmestská 5/2022</t>
  </si>
  <si>
    <t>220223</t>
  </si>
  <si>
    <t>OAU: práce v BD a NP</t>
  </si>
  <si>
    <t>220222</t>
  </si>
  <si>
    <t>OaU: práce v BD a NP</t>
  </si>
  <si>
    <t>220220</t>
  </si>
  <si>
    <t>220219</t>
  </si>
  <si>
    <t>odborné skúšky</t>
  </si>
  <si>
    <t>220225</t>
  </si>
  <si>
    <t>energie, el.en, plyn v BD Košická 05/22</t>
  </si>
  <si>
    <t>2892020</t>
  </si>
  <si>
    <t>súdne poplatky</t>
  </si>
  <si>
    <t>4419015592</t>
  </si>
  <si>
    <t>17204776</t>
  </si>
  <si>
    <t>oprava výťahu Kempelenova 3401/41</t>
  </si>
  <si>
    <t>17204775</t>
  </si>
  <si>
    <t>oprava výťahu Korzo 11 3466</t>
  </si>
  <si>
    <t>9485487525</t>
  </si>
  <si>
    <t>súdny poplatok Balážová</t>
  </si>
  <si>
    <t>3072089398</t>
  </si>
  <si>
    <t>súdny poplatok Burešová</t>
  </si>
  <si>
    <t>8063146388</t>
  </si>
  <si>
    <t>súdny poplatok Winkler</t>
  </si>
  <si>
    <t>2220584144</t>
  </si>
  <si>
    <t>súdny poplatok Smieško</t>
  </si>
  <si>
    <t>20220281</t>
  </si>
  <si>
    <t xml:space="preserve">požiarna prevencia </t>
  </si>
  <si>
    <t>20220279</t>
  </si>
  <si>
    <t>22100018</t>
  </si>
  <si>
    <t>pravidelná technická prehliadka 2Q22</t>
  </si>
  <si>
    <t>2022121343</t>
  </si>
  <si>
    <t>t+t, a.s.</t>
  </si>
  <si>
    <t>Andreja Kmeťa 18,01001 Žilina</t>
  </si>
  <si>
    <t>pristavenie a odvoz VKK</t>
  </si>
  <si>
    <t>ObJ 220021</t>
  </si>
  <si>
    <t>5606974391</t>
  </si>
  <si>
    <t>súdny poplatok Frátrik</t>
  </si>
  <si>
    <t>5502021</t>
  </si>
  <si>
    <t xml:space="preserve">JUDr. Jozef Rišian </t>
  </si>
  <si>
    <t xml:space="preserve">Pivovarská 1069, 010 01 Žilina </t>
  </si>
  <si>
    <t>35658991</t>
  </si>
  <si>
    <t>trovy exekúcie Chodelková</t>
  </si>
  <si>
    <t>2872021</t>
  </si>
  <si>
    <t>15227876</t>
  </si>
  <si>
    <t>zmluvný servis výťahov za 06/2022</t>
  </si>
  <si>
    <t xml:space="preserve">judr.jozef rišian </t>
  </si>
  <si>
    <t>2512021</t>
  </si>
  <si>
    <t>20220050</t>
  </si>
  <si>
    <t>paušálna odmena 06/2022</t>
  </si>
  <si>
    <t>220035a</t>
  </si>
  <si>
    <t>strážna služba BD Košická 06/2022</t>
  </si>
  <si>
    <t>20220564</t>
  </si>
  <si>
    <t>služby VTZ 06/2022</t>
  </si>
  <si>
    <t>3221039741</t>
  </si>
  <si>
    <t>Sevak, a.s.</t>
  </si>
  <si>
    <t xml:space="preserve">Bôrická cesta 1960,010 57 Žilina </t>
  </si>
  <si>
    <t>vodné, stočné bunky 11.12.2021 - 28.6.2022</t>
  </si>
  <si>
    <t>220231</t>
  </si>
  <si>
    <t>správa bytov, NB a vedenie účtov kúpnych zmlúv 06/2022</t>
  </si>
  <si>
    <t>220251</t>
  </si>
  <si>
    <t>preddavky na el. energiu 05/22 v BD a NP</t>
  </si>
  <si>
    <t>220255</t>
  </si>
  <si>
    <t>stočné J.Sklenára 2071 1.1.2022-7.6.2022</t>
  </si>
  <si>
    <t>220252</t>
  </si>
  <si>
    <t>preddavky na el. energiu 06/2022</t>
  </si>
  <si>
    <t>220257</t>
  </si>
  <si>
    <t xml:space="preserve">predd. Spotreby energií: plyn 07/2022 v BD a NP a vyúčt. </t>
  </si>
  <si>
    <t>20220576</t>
  </si>
  <si>
    <t>monitoring prev. Stavov plynovej kotolne Horný Val 06/22</t>
  </si>
  <si>
    <t>220259</t>
  </si>
  <si>
    <t>spracovanie poštových poukazov 06/2022</t>
  </si>
  <si>
    <t>20220289</t>
  </si>
  <si>
    <t>kontrola hasiacich prístrojov a štítkov + blomba</t>
  </si>
  <si>
    <t>4539776069</t>
  </si>
  <si>
    <t>vyúčt. El. energie Bratislavská: bunky 06/22</t>
  </si>
  <si>
    <t>220262</t>
  </si>
  <si>
    <t>220263</t>
  </si>
  <si>
    <t>vodné, stočné D.Dlabača 1.1.2022-30.6.2022</t>
  </si>
  <si>
    <t>220264</t>
  </si>
  <si>
    <t>220266</t>
  </si>
  <si>
    <t>maľovanie b.j.6/2022 OaU: práce v BD a NP</t>
  </si>
  <si>
    <t>220267</t>
  </si>
  <si>
    <t>elektroinšt. Práca b.j. 6/2022 OaU: práce v BD a NP</t>
  </si>
  <si>
    <t>DF2200348</t>
  </si>
  <si>
    <t>DF2200001</t>
  </si>
  <si>
    <t>DF2200002</t>
  </si>
  <si>
    <t>DF2200003</t>
  </si>
  <si>
    <t>DF2200004</t>
  </si>
  <si>
    <t>DF2200005</t>
  </si>
  <si>
    <t>DF2200006</t>
  </si>
  <si>
    <t>DF2200007</t>
  </si>
  <si>
    <t>DF2200008</t>
  </si>
  <si>
    <t>DF2200009</t>
  </si>
  <si>
    <t>DF2200010</t>
  </si>
  <si>
    <t>DF2200011</t>
  </si>
  <si>
    <t>DF2200012</t>
  </si>
  <si>
    <t>DF2200013</t>
  </si>
  <si>
    <t>DF2200014</t>
  </si>
  <si>
    <t>DF2200015</t>
  </si>
  <si>
    <t>DF2200016</t>
  </si>
  <si>
    <t>DF2200017</t>
  </si>
  <si>
    <t>DF2200018</t>
  </si>
  <si>
    <t>DF2200019</t>
  </si>
  <si>
    <t>DF2200020</t>
  </si>
  <si>
    <t>DF2200021</t>
  </si>
  <si>
    <t>DF2200022</t>
  </si>
  <si>
    <t>DF2200023</t>
  </si>
  <si>
    <t>DF2200024</t>
  </si>
  <si>
    <t>DF2200025</t>
  </si>
  <si>
    <t>DF2200026</t>
  </si>
  <si>
    <t>DF2200027</t>
  </si>
  <si>
    <t>DF2200028</t>
  </si>
  <si>
    <t>DF2200029</t>
  </si>
  <si>
    <t>DF2200030</t>
  </si>
  <si>
    <t>DF2200031</t>
  </si>
  <si>
    <t>DF2200032</t>
  </si>
  <si>
    <t>DF2200033</t>
  </si>
  <si>
    <t>DF2200034</t>
  </si>
  <si>
    <t>DF2200035</t>
  </si>
  <si>
    <t>DF2200036</t>
  </si>
  <si>
    <t>DF2200037</t>
  </si>
  <si>
    <t>DF2200038</t>
  </si>
  <si>
    <t>DF2200039</t>
  </si>
  <si>
    <t>DF2200040</t>
  </si>
  <si>
    <t>DF2200041</t>
  </si>
  <si>
    <t>DF2200042</t>
  </si>
  <si>
    <t>DF2200043</t>
  </si>
  <si>
    <t>DF2200044</t>
  </si>
  <si>
    <t>DF2200045</t>
  </si>
  <si>
    <t>DF2200046</t>
  </si>
  <si>
    <t>DF2200047</t>
  </si>
  <si>
    <t>DF2200048</t>
  </si>
  <si>
    <t>DF2200049</t>
  </si>
  <si>
    <t>DF2200050</t>
  </si>
  <si>
    <t>DF2200051</t>
  </si>
  <si>
    <t>DF2200052</t>
  </si>
  <si>
    <t>DF2200053</t>
  </si>
  <si>
    <t>DF2200054</t>
  </si>
  <si>
    <t>DF2200055</t>
  </si>
  <si>
    <t>DF2200056</t>
  </si>
  <si>
    <t>DF2200057</t>
  </si>
  <si>
    <t>DF2200058</t>
  </si>
  <si>
    <t>DF2200059</t>
  </si>
  <si>
    <t>DF2200060</t>
  </si>
  <si>
    <t>DF2200061</t>
  </si>
  <si>
    <t>DF2200062</t>
  </si>
  <si>
    <t>DF2200063</t>
  </si>
  <si>
    <t>DF2200064</t>
  </si>
  <si>
    <t>DF2200065</t>
  </si>
  <si>
    <t>DF2200066</t>
  </si>
  <si>
    <t>DF2200067</t>
  </si>
  <si>
    <t>DF2200068</t>
  </si>
  <si>
    <t>DF2200069</t>
  </si>
  <si>
    <t>DF2200070</t>
  </si>
  <si>
    <t>DF2200071</t>
  </si>
  <si>
    <t>DF2200072</t>
  </si>
  <si>
    <t>DF2200073</t>
  </si>
  <si>
    <t>DF2200074</t>
  </si>
  <si>
    <t>DF2200075</t>
  </si>
  <si>
    <t>DF2200076</t>
  </si>
  <si>
    <t>DF2200077</t>
  </si>
  <si>
    <t>DF2200078</t>
  </si>
  <si>
    <t>DF2200079</t>
  </si>
  <si>
    <t>DF2200080</t>
  </si>
  <si>
    <t>DF2200081</t>
  </si>
  <si>
    <t>DF2200082</t>
  </si>
  <si>
    <t>DF2200083</t>
  </si>
  <si>
    <t>DF2200084</t>
  </si>
  <si>
    <t>DF2200085</t>
  </si>
  <si>
    <t>DF2200086</t>
  </si>
  <si>
    <t>DF2200087</t>
  </si>
  <si>
    <t>DF2200088</t>
  </si>
  <si>
    <t>DF2200089</t>
  </si>
  <si>
    <t>DF2200090</t>
  </si>
  <si>
    <t>DF2200091</t>
  </si>
  <si>
    <t>DF2200092</t>
  </si>
  <si>
    <t>DF2200093</t>
  </si>
  <si>
    <t>DF2200094</t>
  </si>
  <si>
    <t>DF2200095</t>
  </si>
  <si>
    <t>DF2200096</t>
  </si>
  <si>
    <t>DF2200097</t>
  </si>
  <si>
    <t>DF2200098</t>
  </si>
  <si>
    <t>DF2200099</t>
  </si>
  <si>
    <t>DF2200100</t>
  </si>
  <si>
    <t>DF2200101</t>
  </si>
  <si>
    <t>DF2200102</t>
  </si>
  <si>
    <t>DF2200103</t>
  </si>
  <si>
    <t>DF2200104</t>
  </si>
  <si>
    <t>DF2200105</t>
  </si>
  <si>
    <t>DF2200106</t>
  </si>
  <si>
    <t>DF2200107</t>
  </si>
  <si>
    <t>DF2200108</t>
  </si>
  <si>
    <t>DF2200109</t>
  </si>
  <si>
    <t>DF2200110</t>
  </si>
  <si>
    <t>DF2200111</t>
  </si>
  <si>
    <t>DF2200112</t>
  </si>
  <si>
    <t>DF2200113</t>
  </si>
  <si>
    <t>DF2200114</t>
  </si>
  <si>
    <t>DF2200115</t>
  </si>
  <si>
    <t>DF2200116</t>
  </si>
  <si>
    <t>DF2200117</t>
  </si>
  <si>
    <t>DF2200118</t>
  </si>
  <si>
    <t>DF2200119</t>
  </si>
  <si>
    <t>DF2200120</t>
  </si>
  <si>
    <t>DF2200121</t>
  </si>
  <si>
    <t>DF2200122</t>
  </si>
  <si>
    <t>DF2200123</t>
  </si>
  <si>
    <t>DF2200124</t>
  </si>
  <si>
    <t>DF2200125</t>
  </si>
  <si>
    <t>DF2200126</t>
  </si>
  <si>
    <t>DF2200127</t>
  </si>
  <si>
    <t>DF2200128</t>
  </si>
  <si>
    <t>DF2200129</t>
  </si>
  <si>
    <t>DF2200130</t>
  </si>
  <si>
    <t>DF2200131</t>
  </si>
  <si>
    <t>DF2200132</t>
  </si>
  <si>
    <t>DF2200133</t>
  </si>
  <si>
    <t>DF2200134</t>
  </si>
  <si>
    <t>DF2200135</t>
  </si>
  <si>
    <t>DF2200136</t>
  </si>
  <si>
    <t>DF2200137</t>
  </si>
  <si>
    <t>DF2200138</t>
  </si>
  <si>
    <t>DF2200139</t>
  </si>
  <si>
    <t>DF2200140</t>
  </si>
  <si>
    <t>DF2200141</t>
  </si>
  <si>
    <t>DF2200142</t>
  </si>
  <si>
    <t>DF2200143</t>
  </si>
  <si>
    <t>DF2200144</t>
  </si>
  <si>
    <t>DF2200145</t>
  </si>
  <si>
    <t>DF2200146</t>
  </si>
  <si>
    <t>DF2200147</t>
  </si>
  <si>
    <t>DF2200148</t>
  </si>
  <si>
    <t>DF2200149</t>
  </si>
  <si>
    <t>DF2200150</t>
  </si>
  <si>
    <t>DF2200151</t>
  </si>
  <si>
    <t>DF2200152</t>
  </si>
  <si>
    <t>DF2200153</t>
  </si>
  <si>
    <t>DF2200154</t>
  </si>
  <si>
    <t>DF2200155</t>
  </si>
  <si>
    <t>DF2200156</t>
  </si>
  <si>
    <t>DF2200157</t>
  </si>
  <si>
    <t>DF2200158</t>
  </si>
  <si>
    <t>DF2200159</t>
  </si>
  <si>
    <t>DF2200160</t>
  </si>
  <si>
    <t>DF2200161</t>
  </si>
  <si>
    <t>DF2200162</t>
  </si>
  <si>
    <t>DF2200163</t>
  </si>
  <si>
    <t>DF2200164</t>
  </si>
  <si>
    <t>DF2200165</t>
  </si>
  <si>
    <t>DF2200166</t>
  </si>
  <si>
    <t>DF2200167</t>
  </si>
  <si>
    <t>DF2200168</t>
  </si>
  <si>
    <t>DF2200169</t>
  </si>
  <si>
    <t>DF2200170</t>
  </si>
  <si>
    <t>DF2200171</t>
  </si>
  <si>
    <t>DF2200172</t>
  </si>
  <si>
    <t>DF2200173</t>
  </si>
  <si>
    <t>DF2200174</t>
  </si>
  <si>
    <t>DF2200175</t>
  </si>
  <si>
    <t>DF2200176</t>
  </si>
  <si>
    <t>DF2200177</t>
  </si>
  <si>
    <t>DF2200178</t>
  </si>
  <si>
    <t>DF2200179</t>
  </si>
  <si>
    <t>DF2200180</t>
  </si>
  <si>
    <t>DF2200181</t>
  </si>
  <si>
    <t>DF2200182</t>
  </si>
  <si>
    <t>DF2200183</t>
  </si>
  <si>
    <t>DF2200184</t>
  </si>
  <si>
    <t>DF2200185</t>
  </si>
  <si>
    <t>DF2200186</t>
  </si>
  <si>
    <t>DF2200187</t>
  </si>
  <si>
    <t>DF2200188</t>
  </si>
  <si>
    <t>DF2200189</t>
  </si>
  <si>
    <t>DF2200190</t>
  </si>
  <si>
    <t>DF2200191</t>
  </si>
  <si>
    <t>DF2200192</t>
  </si>
  <si>
    <t>DF2200193</t>
  </si>
  <si>
    <t>DF2200194</t>
  </si>
  <si>
    <t>DF2200195</t>
  </si>
  <si>
    <t>DF2200196</t>
  </si>
  <si>
    <t>DF2200197</t>
  </si>
  <si>
    <t>DF2200198</t>
  </si>
  <si>
    <t>DF2200199</t>
  </si>
  <si>
    <t>DF2200200</t>
  </si>
  <si>
    <t>DF2200201</t>
  </si>
  <si>
    <t>DF2200202</t>
  </si>
  <si>
    <t>DF2200203</t>
  </si>
  <si>
    <t>DF2200204</t>
  </si>
  <si>
    <t>DF2200205</t>
  </si>
  <si>
    <t>DF2200206</t>
  </si>
  <si>
    <t>DF2200207</t>
  </si>
  <si>
    <t>DF2200208</t>
  </si>
  <si>
    <t>DF2200209</t>
  </si>
  <si>
    <t>DF2200210</t>
  </si>
  <si>
    <t>DF2200211</t>
  </si>
  <si>
    <t>DF2200212</t>
  </si>
  <si>
    <t>DF2200213</t>
  </si>
  <si>
    <t>DF2200214</t>
  </si>
  <si>
    <t>DF2200215</t>
  </si>
  <si>
    <t>DF2200216</t>
  </si>
  <si>
    <t>DF2200217</t>
  </si>
  <si>
    <t>DF2200218</t>
  </si>
  <si>
    <t>DF2200219</t>
  </si>
  <si>
    <t>DF2200220</t>
  </si>
  <si>
    <t>DF2200221</t>
  </si>
  <si>
    <t>DF2200222</t>
  </si>
  <si>
    <t>DF2200223</t>
  </si>
  <si>
    <t>DF2200224</t>
  </si>
  <si>
    <t>DF2200225</t>
  </si>
  <si>
    <t>DF2200226</t>
  </si>
  <si>
    <t>DF2200227</t>
  </si>
  <si>
    <t>DF2200228</t>
  </si>
  <si>
    <t>DF2200229</t>
  </si>
  <si>
    <t>DF2200230</t>
  </si>
  <si>
    <t>DF2200231</t>
  </si>
  <si>
    <t>DF2200232</t>
  </si>
  <si>
    <t>DF2200233</t>
  </si>
  <si>
    <t>DF2200234</t>
  </si>
  <si>
    <t>DF2200235</t>
  </si>
  <si>
    <t>DF2200236</t>
  </si>
  <si>
    <t>DF2200237</t>
  </si>
  <si>
    <t>DF2200238</t>
  </si>
  <si>
    <t>DF2200239</t>
  </si>
  <si>
    <t>DF2200240</t>
  </si>
  <si>
    <t>DF2200241</t>
  </si>
  <si>
    <t>DF2200242</t>
  </si>
  <si>
    <t>DF2200243</t>
  </si>
  <si>
    <t>DF2200244</t>
  </si>
  <si>
    <t>DF2200245</t>
  </si>
  <si>
    <t>DF2200246</t>
  </si>
  <si>
    <t>DF2200247</t>
  </si>
  <si>
    <t>DF2200248</t>
  </si>
  <si>
    <t>DF2200249</t>
  </si>
  <si>
    <t>DF2200250</t>
  </si>
  <si>
    <t>DF2200251</t>
  </si>
  <si>
    <t>DF2200252</t>
  </si>
  <si>
    <t>DF2200253</t>
  </si>
  <si>
    <t>DF2200254</t>
  </si>
  <si>
    <t>DF2200255</t>
  </si>
  <si>
    <t>DF2200256</t>
  </si>
  <si>
    <t>DF2200257</t>
  </si>
  <si>
    <t>DF2200258</t>
  </si>
  <si>
    <t>DF2200259</t>
  </si>
  <si>
    <t>DF2200260</t>
  </si>
  <si>
    <t>DF2200261</t>
  </si>
  <si>
    <t>DF2200262</t>
  </si>
  <si>
    <t>DF2200263</t>
  </si>
  <si>
    <t>DF2200264</t>
  </si>
  <si>
    <t>DF2200265</t>
  </si>
  <si>
    <t>DF2200266</t>
  </si>
  <si>
    <t>DF2200267</t>
  </si>
  <si>
    <t>DF2200268</t>
  </si>
  <si>
    <t>DF2200269</t>
  </si>
  <si>
    <t>DF2200270</t>
  </si>
  <si>
    <t>DF2200271</t>
  </si>
  <si>
    <t>DF2200272</t>
  </si>
  <si>
    <t>DF2200273</t>
  </si>
  <si>
    <t>DF2200274</t>
  </si>
  <si>
    <t>DF2200275</t>
  </si>
  <si>
    <t>DF2200276</t>
  </si>
  <si>
    <t>DF2200277</t>
  </si>
  <si>
    <t>DF2200278</t>
  </si>
  <si>
    <t>DF2200279</t>
  </si>
  <si>
    <t>DF2200280</t>
  </si>
  <si>
    <t>DF2200281</t>
  </si>
  <si>
    <t>DF2200282</t>
  </si>
  <si>
    <t>DF2200283</t>
  </si>
  <si>
    <t>DF2200284</t>
  </si>
  <si>
    <t>DF2200285</t>
  </si>
  <si>
    <t>DF2200286</t>
  </si>
  <si>
    <t>DF2200287</t>
  </si>
  <si>
    <t>DF2200288</t>
  </si>
  <si>
    <t>DF2200289</t>
  </si>
  <si>
    <t>DF2200290</t>
  </si>
  <si>
    <t>DF2200291</t>
  </si>
  <si>
    <t>DF2200292</t>
  </si>
  <si>
    <t>DF2200293</t>
  </si>
  <si>
    <t>DF2200294</t>
  </si>
  <si>
    <t>DF2200295</t>
  </si>
  <si>
    <t>DF2200296</t>
  </si>
  <si>
    <t>DF2200297</t>
  </si>
  <si>
    <t>DF2200298</t>
  </si>
  <si>
    <t>DF2200299</t>
  </si>
  <si>
    <t>DF2200300</t>
  </si>
  <si>
    <t>DF2200301</t>
  </si>
  <si>
    <t>DF2200302</t>
  </si>
  <si>
    <t>DF2200303</t>
  </si>
  <si>
    <t>DF2200304</t>
  </si>
  <si>
    <t>DF2200305</t>
  </si>
  <si>
    <t>DF2200306</t>
  </si>
  <si>
    <t>DF2200307</t>
  </si>
  <si>
    <t>DF2200308</t>
  </si>
  <si>
    <t>DF2200309</t>
  </si>
  <si>
    <t>DF2200310</t>
  </si>
  <si>
    <t>DF2200311</t>
  </si>
  <si>
    <t>DF2200312</t>
  </si>
  <si>
    <t>DF2200313</t>
  </si>
  <si>
    <t>DF2200314</t>
  </si>
  <si>
    <t>DF2200315</t>
  </si>
  <si>
    <t>DF2200316</t>
  </si>
  <si>
    <t>DF2200317</t>
  </si>
  <si>
    <t>DF2200318</t>
  </si>
  <si>
    <t>DF2200319</t>
  </si>
  <si>
    <t>DF2200320</t>
  </si>
  <si>
    <t>DF2200321</t>
  </si>
  <si>
    <t>DF2200322</t>
  </si>
  <si>
    <t>DF2200323</t>
  </si>
  <si>
    <t>DF2200324</t>
  </si>
  <si>
    <t>DF2200325</t>
  </si>
  <si>
    <t>DF2200326</t>
  </si>
  <si>
    <t>DF2200327</t>
  </si>
  <si>
    <t>DF2200328</t>
  </si>
  <si>
    <t>DF2200329</t>
  </si>
  <si>
    <t>DF2200330</t>
  </si>
  <si>
    <t>DF2200331</t>
  </si>
  <si>
    <t>DF2200332</t>
  </si>
  <si>
    <t>DF2200333</t>
  </si>
  <si>
    <t>DF2200334</t>
  </si>
  <si>
    <t>DF2200335</t>
  </si>
  <si>
    <t>DF2200336</t>
  </si>
  <si>
    <t>DF2200337</t>
  </si>
  <si>
    <t>DF2200338</t>
  </si>
  <si>
    <t>DF2200339</t>
  </si>
  <si>
    <t>DF2200340</t>
  </si>
  <si>
    <t>DF2200341</t>
  </si>
  <si>
    <t>DF2200342</t>
  </si>
  <si>
    <t>DF2200343</t>
  </si>
  <si>
    <t>DF2200344</t>
  </si>
  <si>
    <t>DF2200345</t>
  </si>
  <si>
    <t>DF2200346</t>
  </si>
  <si>
    <t>DF2200347</t>
  </si>
  <si>
    <t>220271</t>
  </si>
  <si>
    <t>DF2200349</t>
  </si>
  <si>
    <t>220269</t>
  </si>
  <si>
    <t>refakt.teplo BD Predmestská 6/2022</t>
  </si>
  <si>
    <t>DF2200350</t>
  </si>
  <si>
    <t>220270</t>
  </si>
  <si>
    <t>DF2200351</t>
  </si>
  <si>
    <t>199306220</t>
  </si>
  <si>
    <t>import VRT-6-1993</t>
  </si>
  <si>
    <t>DF2200352</t>
  </si>
  <si>
    <t>predpis záloh.úhrad: teplo 07/2022</t>
  </si>
  <si>
    <t>DF2200353</t>
  </si>
  <si>
    <t>17204884</t>
  </si>
  <si>
    <t>oprava výťahu Petzvalova 8501/43A</t>
  </si>
  <si>
    <t>DF2200354</t>
  </si>
  <si>
    <t>DF2200355</t>
  </si>
  <si>
    <t>DF2200356</t>
  </si>
  <si>
    <t>DF2200357</t>
  </si>
  <si>
    <t>DF2200358</t>
  </si>
  <si>
    <t>DF2200359</t>
  </si>
  <si>
    <t>DF2200360</t>
  </si>
  <si>
    <t>20220325</t>
  </si>
  <si>
    <t>kontrola has.prístrojov, požiarnych vodovodov Košická 8392/2A</t>
  </si>
  <si>
    <t>2022043</t>
  </si>
  <si>
    <t>OBJ220033</t>
  </si>
  <si>
    <t>oprava strechy garáž ul. Rovniakova 6357</t>
  </si>
  <si>
    <t>220273</t>
  </si>
  <si>
    <t>220277</t>
  </si>
  <si>
    <t>vodné, stočné 2.Q/22</t>
  </si>
  <si>
    <t>220274</t>
  </si>
  <si>
    <t>upratovanie v priestoroch BD 06/2022</t>
  </si>
  <si>
    <t>17204972</t>
  </si>
  <si>
    <t>17204931</t>
  </si>
  <si>
    <t>DF2200361</t>
  </si>
  <si>
    <t>DF2200362</t>
  </si>
  <si>
    <t>DF2200363</t>
  </si>
  <si>
    <t>DF2200364</t>
  </si>
  <si>
    <t>DF2200365</t>
  </si>
  <si>
    <t>DF2200366</t>
  </si>
  <si>
    <t>DF2200367</t>
  </si>
  <si>
    <t>17204932</t>
  </si>
  <si>
    <t>vykonanie opak.úradnej skúšky výťahy</t>
  </si>
  <si>
    <t>202212</t>
  </si>
  <si>
    <t>OBJ220032</t>
  </si>
  <si>
    <t>oprava a vyčistenie hlavnej vonkajšej kanalizácie a kanalizačných šácht</t>
  </si>
  <si>
    <t>202213</t>
  </si>
  <si>
    <t>OBJ220035</t>
  </si>
  <si>
    <t>práce byt Bratislavská 46</t>
  </si>
  <si>
    <t>202209</t>
  </si>
  <si>
    <t>OBJ220034</t>
  </si>
  <si>
    <t>práce byt Korzo 35</t>
  </si>
  <si>
    <t>5561190959</t>
  </si>
  <si>
    <t>Okresný súd Banská Bystrica</t>
  </si>
  <si>
    <t>Skuteckého 1619/28, 974 01 Banská Bystrica</t>
  </si>
  <si>
    <t>súdny poplatok Výrostková</t>
  </si>
  <si>
    <t>4913432003</t>
  </si>
  <si>
    <t>súdny poplatok Englart</t>
  </si>
  <si>
    <t>22120359</t>
  </si>
  <si>
    <t>popl. za správu bytov 07/2022</t>
  </si>
  <si>
    <t>DF2200368</t>
  </si>
  <si>
    <t>DF2200369</t>
  </si>
  <si>
    <t>DF2200370</t>
  </si>
  <si>
    <t>DF2200371</t>
  </si>
  <si>
    <t>DF2200372</t>
  </si>
  <si>
    <t>DF2200373</t>
  </si>
  <si>
    <t>DF2200374</t>
  </si>
  <si>
    <t>DF2200375</t>
  </si>
  <si>
    <t>DF2200376</t>
  </si>
  <si>
    <t>DF2200377</t>
  </si>
  <si>
    <t>DF2200378</t>
  </si>
  <si>
    <t>DF2200379</t>
  </si>
  <si>
    <t>220278</t>
  </si>
  <si>
    <t>odborné skúšky - revízie</t>
  </si>
  <si>
    <t>17205012</t>
  </si>
  <si>
    <t>oprava výťahu J. Hronca 3408/5</t>
  </si>
  <si>
    <t>17205014</t>
  </si>
  <si>
    <t>oprava výťahu Korzo 3453/4</t>
  </si>
  <si>
    <t>0019835107</t>
  </si>
  <si>
    <t>súdny poplatok Možutíková</t>
  </si>
  <si>
    <t>220281</t>
  </si>
  <si>
    <t>pripojovací poplatok Hollého</t>
  </si>
  <si>
    <t>220280</t>
  </si>
  <si>
    <t>energie: el. en., plyn v BD Košická 06/22</t>
  </si>
  <si>
    <t>220263a</t>
  </si>
  <si>
    <t>vodné, stočné D. Dlabača 1.1.2022-30.06.2022 - doplatok</t>
  </si>
  <si>
    <t>20220333</t>
  </si>
  <si>
    <t>220283</t>
  </si>
  <si>
    <t>preddavky na energiu 07/22 v BD a NP</t>
  </si>
  <si>
    <t>220279</t>
  </si>
  <si>
    <t>ročné vyúčtovanie nákladov za rok 2021</t>
  </si>
  <si>
    <t>220282</t>
  </si>
  <si>
    <t>OaU: vodárenské práce</t>
  </si>
  <si>
    <t>3368999615</t>
  </si>
  <si>
    <t>súdny poplatok Stojka Jozef (Faták Nina)</t>
  </si>
  <si>
    <t>DFH220001</t>
  </si>
  <si>
    <t>DFH220002</t>
  </si>
  <si>
    <t>DFH220003</t>
  </si>
  <si>
    <t>DFH220004</t>
  </si>
  <si>
    <t>DFH220005</t>
  </si>
  <si>
    <t>DFH220006</t>
  </si>
  <si>
    <t>DFH220007</t>
  </si>
  <si>
    <t>DFH220008</t>
  </si>
  <si>
    <t>DFH220009</t>
  </si>
  <si>
    <t>DF2200380</t>
  </si>
  <si>
    <t>DF2200381</t>
  </si>
  <si>
    <t>DF2200382</t>
  </si>
  <si>
    <t>DF2200383</t>
  </si>
  <si>
    <t>DF2200384</t>
  </si>
  <si>
    <t>DF2200385</t>
  </si>
  <si>
    <t>DF2200386</t>
  </si>
  <si>
    <t>DF2200387</t>
  </si>
  <si>
    <t>DF2200388</t>
  </si>
  <si>
    <t>DF2200389</t>
  </si>
  <si>
    <t>6034890977</t>
  </si>
  <si>
    <t>súdny poplatok Molnárová/Medo</t>
  </si>
  <si>
    <t>6171612564</t>
  </si>
  <si>
    <t>súdny poplatok Špaňúr/Špaňúrová</t>
  </si>
  <si>
    <t>9371549891</t>
  </si>
  <si>
    <t xml:space="preserve">súdny poplatok Stojka  </t>
  </si>
  <si>
    <t>3036272130</t>
  </si>
  <si>
    <t>súdny poplatok Voštenáková</t>
  </si>
  <si>
    <t>3785339494</t>
  </si>
  <si>
    <t>5392578836</t>
  </si>
  <si>
    <t>220285</t>
  </si>
  <si>
    <t>preddavky na el.energiu 07/22 v BD a NP</t>
  </si>
  <si>
    <t>220291</t>
  </si>
  <si>
    <t>správa bytov, nebytových priestorov a vedenie účtov kúpnych zmlúv 07/2022</t>
  </si>
  <si>
    <t>220298</t>
  </si>
  <si>
    <t>17205052</t>
  </si>
  <si>
    <t>knihy kontrol výťahu</t>
  </si>
  <si>
    <t>15228977</t>
  </si>
  <si>
    <t>zmluvný servis výťahov 07/22</t>
  </si>
  <si>
    <t>DFH220011</t>
  </si>
  <si>
    <t>výkon správy ZŠ Hollého 66 za 07/2022</t>
  </si>
  <si>
    <t>DFH220010</t>
  </si>
  <si>
    <t>220238</t>
  </si>
  <si>
    <t>výkon správy ZŠ Hollého 66 za 06/2022</t>
  </si>
  <si>
    <t>vyúčt.dodávky tepelnej energie 05/2022</t>
  </si>
  <si>
    <t>poistenie majetku 2Q/2021</t>
  </si>
  <si>
    <t>DF2200390</t>
  </si>
  <si>
    <t>DF2200391</t>
  </si>
  <si>
    <t>DF2200392</t>
  </si>
  <si>
    <t>DF2200393</t>
  </si>
  <si>
    <t>DF2200394</t>
  </si>
  <si>
    <t>DF2200395</t>
  </si>
  <si>
    <t>DF2200396</t>
  </si>
  <si>
    <t>DF2200397</t>
  </si>
  <si>
    <t>DF2200398</t>
  </si>
  <si>
    <t>DF2200399</t>
  </si>
  <si>
    <t>DF2200400</t>
  </si>
  <si>
    <t>20220078</t>
  </si>
  <si>
    <t>Námestie SR 7, 014 01 Bytča</t>
  </si>
  <si>
    <t>OBJ220042</t>
  </si>
  <si>
    <t>dodanie varnej dosky Kempelenova 45, pripojenie sporáka J. Hronca 15</t>
  </si>
  <si>
    <t>20220074</t>
  </si>
  <si>
    <t>OBJ220038</t>
  </si>
  <si>
    <t>dodanie kombinovaného sporáka Korzo 6</t>
  </si>
  <si>
    <t>20220075</t>
  </si>
  <si>
    <t>OBJ220041</t>
  </si>
  <si>
    <t>dodanie kombinovaného sporáka Korzo 4</t>
  </si>
  <si>
    <t>20220076</t>
  </si>
  <si>
    <t>OBJ220044</t>
  </si>
  <si>
    <t>pripojenie a kontrola sporáka J. Hronca 17</t>
  </si>
  <si>
    <t>20220077</t>
  </si>
  <si>
    <t>OBJ220043</t>
  </si>
  <si>
    <t>pripojenie a kontrola sporáka J. Hronca 15</t>
  </si>
  <si>
    <t>19932208</t>
  </si>
  <si>
    <t>220047</t>
  </si>
  <si>
    <t>strážna služba 07/22 BD Košická 2A</t>
  </si>
  <si>
    <t>220312</t>
  </si>
  <si>
    <t xml:space="preserve">predd. Spotreby energií: plyn 08/2022 v BD a NP a vyúčt. </t>
  </si>
  <si>
    <t>3442004</t>
  </si>
  <si>
    <t>JUDr. Ing. Pavol Malík</t>
  </si>
  <si>
    <t>1. mája č. 22, 010 01 Žilina</t>
  </si>
  <si>
    <t>36137685</t>
  </si>
  <si>
    <t>trovy exekúcie - zastavenie exe Jozef Rovňánek</t>
  </si>
  <si>
    <t>2919348694</t>
  </si>
  <si>
    <t>súdny poplatok Bongilaj/Bongilajová</t>
  </si>
  <si>
    <t>220314</t>
  </si>
  <si>
    <t>spracovanie poštových poukazov 07/2022</t>
  </si>
  <si>
    <t>DF2200401</t>
  </si>
  <si>
    <t>DF2200402</t>
  </si>
  <si>
    <t>DF2200403</t>
  </si>
  <si>
    <t>DF2200404</t>
  </si>
  <si>
    <t>DF2200405</t>
  </si>
  <si>
    <t>DF2200406</t>
  </si>
  <si>
    <t>DF2200407</t>
  </si>
  <si>
    <t>DF2200408</t>
  </si>
  <si>
    <t>DF2200409</t>
  </si>
  <si>
    <t>DF2200410</t>
  </si>
  <si>
    <t>DF2200411</t>
  </si>
  <si>
    <t>DF2200412</t>
  </si>
  <si>
    <t>DF2200413</t>
  </si>
  <si>
    <t>DF2200414</t>
  </si>
  <si>
    <t>DF2200415</t>
  </si>
  <si>
    <t>DF2200416</t>
  </si>
  <si>
    <t>DF2200417</t>
  </si>
  <si>
    <t>DF2200418</t>
  </si>
  <si>
    <t>DF2200419</t>
  </si>
  <si>
    <t>DF2200420</t>
  </si>
  <si>
    <t>220317</t>
  </si>
  <si>
    <t>220318</t>
  </si>
  <si>
    <t>20220674</t>
  </si>
  <si>
    <t>monitoring prev.stavov plynovej kotolne Horný Val 07/2022</t>
  </si>
  <si>
    <t>zmluva o poskytovaní služieb pri správe, údržbe a servise techn.zariadenia S-Z 2017 002-S001</t>
  </si>
  <si>
    <t>10082022</t>
  </si>
  <si>
    <t>OBJ220052</t>
  </si>
  <si>
    <t>oprava BJ Petzvalova 43</t>
  </si>
  <si>
    <t>09082022</t>
  </si>
  <si>
    <t>OBJ220051</t>
  </si>
  <si>
    <t>oprava BJ J. Hronca 15/8</t>
  </si>
  <si>
    <t>08082022</t>
  </si>
  <si>
    <t>OBJ220050</t>
  </si>
  <si>
    <t>oprava BJ J. Hronca 17/23</t>
  </si>
  <si>
    <t>20220643</t>
  </si>
  <si>
    <t>služby VTZ 07/2022</t>
  </si>
  <si>
    <t>Jura Hronca 3421/6, 010 15  Žilina</t>
  </si>
  <si>
    <t>zmluva Z 005/2021</t>
  </si>
  <si>
    <t>1562022</t>
  </si>
  <si>
    <t>ELPAS SK, s.r.o.</t>
  </si>
  <si>
    <t>Borová 3285/32, 010 07 Žilina</t>
  </si>
  <si>
    <t>53103408</t>
  </si>
  <si>
    <t>zmluva Z217/2022</t>
  </si>
  <si>
    <t>havarijná služba - el. rozvody 07/2022</t>
  </si>
  <si>
    <t>1542022</t>
  </si>
  <si>
    <t>zmluva Z218/2022</t>
  </si>
  <si>
    <t>havarijná služba - voda 07/2022</t>
  </si>
  <si>
    <t>220319</t>
  </si>
  <si>
    <t>Nanterská 8399/29, 010 08 Žilina</t>
  </si>
  <si>
    <t>220321</t>
  </si>
  <si>
    <t>Žltá 1043/23, 010 03 Žilina</t>
  </si>
  <si>
    <t>OBJ220045</t>
  </si>
  <si>
    <t>OaU: oprava bytovej jednotky Košická 2A</t>
  </si>
  <si>
    <t>4539776070</t>
  </si>
  <si>
    <t>Stredoslovenská energetika, a.s.</t>
  </si>
  <si>
    <t>Pri Rajčianke 8591/4B, 010 47 Žilina</t>
  </si>
  <si>
    <t>vyúčt. el. energie Bratislavská, obytný kontajner 07/2022</t>
  </si>
  <si>
    <t>220322</t>
  </si>
  <si>
    <t>220328</t>
  </si>
  <si>
    <t>220324</t>
  </si>
  <si>
    <t>220323</t>
  </si>
  <si>
    <t>220325</t>
  </si>
  <si>
    <t>refakt.teplo BD Predmestská 07/2022</t>
  </si>
  <si>
    <t>220326</t>
  </si>
  <si>
    <t>220327</t>
  </si>
  <si>
    <t>DF2200421</t>
  </si>
  <si>
    <t>DF2200422</t>
  </si>
  <si>
    <t>DF2200423</t>
  </si>
  <si>
    <t>DF2200424</t>
  </si>
  <si>
    <t>DF2200425</t>
  </si>
  <si>
    <t>DF2200426</t>
  </si>
  <si>
    <t>DF2200427</t>
  </si>
  <si>
    <t>DF2200428</t>
  </si>
  <si>
    <t>DF2200429</t>
  </si>
  <si>
    <t>DF2200430</t>
  </si>
  <si>
    <t>20220058</t>
  </si>
  <si>
    <t>paušálna odmena 07/2022</t>
  </si>
  <si>
    <t>22120417</t>
  </si>
  <si>
    <t>popl. za správu bytov 08/2022</t>
  </si>
  <si>
    <t>199307220</t>
  </si>
  <si>
    <t>vyúčt.dodávky tepelnej energie 07/2022</t>
  </si>
  <si>
    <t>17205150</t>
  </si>
  <si>
    <t>OBJ220039</t>
  </si>
  <si>
    <t>oprava výťahu Kempelenova 3401/43</t>
  </si>
  <si>
    <t>20220365</t>
  </si>
  <si>
    <t>OBJ220053</t>
  </si>
  <si>
    <t>kontrola has.prístrojov, revízia ZŠ Hollého 400/66</t>
  </si>
  <si>
    <t>220330</t>
  </si>
  <si>
    <t>upratovanie v priestoroch BD 07/2022</t>
  </si>
  <si>
    <t>220333</t>
  </si>
  <si>
    <t>energie: el. en., plyn v BD Košická 07/22</t>
  </si>
  <si>
    <t>220331</t>
  </si>
  <si>
    <t>220336</t>
  </si>
  <si>
    <t>220335</t>
  </si>
  <si>
    <t>DF2200431</t>
  </si>
  <si>
    <t>DF2200432</t>
  </si>
  <si>
    <t>DF2200433</t>
  </si>
  <si>
    <t>220339</t>
  </si>
  <si>
    <t>predd.vodné, stočné 7/2022 v BD</t>
  </si>
  <si>
    <t>220340</t>
  </si>
  <si>
    <t>predd.vodné, stočné 8/2022 v BD</t>
  </si>
  <si>
    <t>220341</t>
  </si>
  <si>
    <t>poplatky za vystavenie upomienok 4-7/2022</t>
  </si>
  <si>
    <t>DF2200434</t>
  </si>
  <si>
    <t>DF2200435</t>
  </si>
  <si>
    <t>DF2200436</t>
  </si>
  <si>
    <t>DF2200437</t>
  </si>
  <si>
    <t>DF2200438</t>
  </si>
  <si>
    <t>DF2200439</t>
  </si>
  <si>
    <t>DF2200440</t>
  </si>
  <si>
    <t>DF2200441</t>
  </si>
  <si>
    <t>DF2200442</t>
  </si>
  <si>
    <t>DF2200443</t>
  </si>
  <si>
    <t>220338</t>
  </si>
  <si>
    <t>preddavky na el. energiu 08/2022 v BD a NP</t>
  </si>
  <si>
    <t>3240219026</t>
  </si>
  <si>
    <t>202220</t>
  </si>
  <si>
    <t>OBJ220046</t>
  </si>
  <si>
    <t>odstránenie havárie na prasknutom vod. potrubí</t>
  </si>
  <si>
    <t>202219</t>
  </si>
  <si>
    <t>OBJ220048</t>
  </si>
  <si>
    <t>dodávka a osadenie krbových kachlí Bratislavská 50</t>
  </si>
  <si>
    <t>202218</t>
  </si>
  <si>
    <t>OBJ220047</t>
  </si>
  <si>
    <t>osadenie a napojenie krbových kachlí Bratislavská 42</t>
  </si>
  <si>
    <t>202217</t>
  </si>
  <si>
    <t>OBJ220049</t>
  </si>
  <si>
    <t>vyprat.nábytku a zariadenia bytu, odvoz na skládku, Pri Rajčianke 60/1</t>
  </si>
  <si>
    <t>11082022</t>
  </si>
  <si>
    <t>OBJ220055</t>
  </si>
  <si>
    <t xml:space="preserve">OaU: oprava bytovej jednotky  </t>
  </si>
  <si>
    <t>220342</t>
  </si>
  <si>
    <t>poplatky za vystavenie upomienok NP 1.4.-1.8.2022</t>
  </si>
  <si>
    <t>2282022</t>
  </si>
  <si>
    <t>preddavok trovy exe. vypratanie Kluknavská</t>
  </si>
  <si>
    <t>20222509</t>
  </si>
  <si>
    <t>SEZAKO Trnava, s.r.o.</t>
  </si>
  <si>
    <t>Orešanská 11, 917 01 Trnava</t>
  </si>
  <si>
    <t>36263800</t>
  </si>
  <si>
    <t>OBJ220037</t>
  </si>
  <si>
    <t>čistenie kanalizácie na Bratislavskej ul.</t>
  </si>
  <si>
    <t>DF2200444</t>
  </si>
  <si>
    <t>DF2200445</t>
  </si>
  <si>
    <t>DF2200446</t>
  </si>
  <si>
    <t>DF2200447</t>
  </si>
  <si>
    <t>DF2200448</t>
  </si>
  <si>
    <t>DF2200449</t>
  </si>
  <si>
    <t>DF2200450</t>
  </si>
  <si>
    <t>DF2200451</t>
  </si>
  <si>
    <t>DF2200452</t>
  </si>
  <si>
    <t>DF2200453</t>
  </si>
  <si>
    <t>DF2200454</t>
  </si>
  <si>
    <t>DF2200455</t>
  </si>
  <si>
    <t>DF2200456</t>
  </si>
  <si>
    <t>DF2200457</t>
  </si>
  <si>
    <t>DF2200458</t>
  </si>
  <si>
    <t>DF2200459</t>
  </si>
  <si>
    <t>DF2200460</t>
  </si>
  <si>
    <t>DF2200461</t>
  </si>
  <si>
    <t>DF2200462</t>
  </si>
  <si>
    <t>DF2200463</t>
  </si>
  <si>
    <t>8907279213</t>
  </si>
  <si>
    <t>súdny poplatok Cicko/Stojková</t>
  </si>
  <si>
    <t>1131181651</t>
  </si>
  <si>
    <t>súdny poplatok Frátriková</t>
  </si>
  <si>
    <t>220348</t>
  </si>
  <si>
    <t>správa bytových, nebytových priestorov a vedenie účtov KZ 08/2022</t>
  </si>
  <si>
    <t>20220085</t>
  </si>
  <si>
    <t>OBJ220063</t>
  </si>
  <si>
    <t>dovoz a výmena plyn.komb.sporákov J. Hronca, Korzo, Severná</t>
  </si>
  <si>
    <t>19932209</t>
  </si>
  <si>
    <t>220055</t>
  </si>
  <si>
    <t>strážna služba 08/22 BD Košická 2A</t>
  </si>
  <si>
    <t>15230272</t>
  </si>
  <si>
    <t>zmluvný servis výťahov 08/22</t>
  </si>
  <si>
    <t>17205253</t>
  </si>
  <si>
    <t>OBJ220054</t>
  </si>
  <si>
    <t>oprava výťahu Košická 8392</t>
  </si>
  <si>
    <t>OBJ220059</t>
  </si>
  <si>
    <t>prečistenie hlavnej kanal.stupačky Bratislavská 48</t>
  </si>
  <si>
    <t>202222</t>
  </si>
  <si>
    <t>OBJ220056</t>
  </si>
  <si>
    <t>prečistenie hlavnej kanal.stupačky Bratislavská 42</t>
  </si>
  <si>
    <t>202223</t>
  </si>
  <si>
    <t>OBJ220061</t>
  </si>
  <si>
    <t>prečistenie hlavnej kanal.stupačky Bratislavská 36A</t>
  </si>
  <si>
    <t>202224</t>
  </si>
  <si>
    <t>OBJ220060</t>
  </si>
  <si>
    <t>zhotovenie uzamykania bytu po vykopnutí dverí Bratislavská 42</t>
  </si>
  <si>
    <t>202225</t>
  </si>
  <si>
    <t>202226</t>
  </si>
  <si>
    <t>OBJ220058</t>
  </si>
  <si>
    <t>zabezpečenie obyt.kontajnera proti vniknutiu zadebnením Bratislavská</t>
  </si>
  <si>
    <t>OBJ220057</t>
  </si>
  <si>
    <t>2062022</t>
  </si>
  <si>
    <t>havarijná služba - voda 08/2022</t>
  </si>
  <si>
    <t>2072022</t>
  </si>
  <si>
    <t>havarijná služba - el. rozvody 08/2022</t>
  </si>
  <si>
    <t>10220274</t>
  </si>
  <si>
    <t>FENSTER, s.r.o.</t>
  </si>
  <si>
    <t>Klimovské 596/2, 010 01 Žilina</t>
  </si>
  <si>
    <t>46087206</t>
  </si>
  <si>
    <t>OBJ220036</t>
  </si>
  <si>
    <t>demontáž, dodávka a montáž dverí J.Hronca 23/27</t>
  </si>
  <si>
    <t>20220724</t>
  </si>
  <si>
    <t>služby VTZ 08/2022</t>
  </si>
  <si>
    <t>220368</t>
  </si>
  <si>
    <t>spracovanie poštových poukazov 08/2022</t>
  </si>
  <si>
    <t>220371</t>
  </si>
  <si>
    <t>predd.spotreby energií:plyn 09/2022 v BD a NP a vyúčt.</t>
  </si>
  <si>
    <t>DF2200464</t>
  </si>
  <si>
    <t>DF2200465</t>
  </si>
  <si>
    <t>DF2200466</t>
  </si>
  <si>
    <t>DF2200467</t>
  </si>
  <si>
    <t>DF2200468</t>
  </si>
  <si>
    <t>DF2200469</t>
  </si>
  <si>
    <t>DF2200470</t>
  </si>
  <si>
    <t>DF2200471</t>
  </si>
  <si>
    <t>DF2200472</t>
  </si>
  <si>
    <t>DF2200473</t>
  </si>
  <si>
    <t>DF2200474</t>
  </si>
  <si>
    <t>DF2200475</t>
  </si>
  <si>
    <t>DF2200476</t>
  </si>
  <si>
    <t>DF2200477</t>
  </si>
  <si>
    <t>4421778137</t>
  </si>
  <si>
    <t>220375</t>
  </si>
  <si>
    <t>predd.vodné, stočné 09/2022 v BD</t>
  </si>
  <si>
    <t>220376</t>
  </si>
  <si>
    <t>220377</t>
  </si>
  <si>
    <t>220378</t>
  </si>
  <si>
    <t>220374</t>
  </si>
  <si>
    <t>pripojovací poplatok a nezrealizovaná požiadavka na priamy elektromer</t>
  </si>
  <si>
    <t>20220062</t>
  </si>
  <si>
    <t>paušálna odmena 08/2022</t>
  </si>
  <si>
    <t>20220770</t>
  </si>
  <si>
    <t>monitoring prev.stavov plynovej kotolne Horný Val 08/2022</t>
  </si>
  <si>
    <t>20220088</t>
  </si>
  <si>
    <t>OBJ220071</t>
  </si>
  <si>
    <t>dovoz a výmena komb.sporákov J.Hronca, Jedlíkova, Korzo</t>
  </si>
  <si>
    <t>220381</t>
  </si>
  <si>
    <t>13092022</t>
  </si>
  <si>
    <t>OBJ220065</t>
  </si>
  <si>
    <t>OaU: obrúsenie, odmastenie a náter plota ZŠ Hollého</t>
  </si>
  <si>
    <t>2022071</t>
  </si>
  <si>
    <t>Jozef Ondrišík</t>
  </si>
  <si>
    <t>Gabriela Povalu 27, 010 01 Žilina</t>
  </si>
  <si>
    <t>14215454</t>
  </si>
  <si>
    <t>OBJ220069</t>
  </si>
  <si>
    <t>dezinsekčné práce J.Hronca 25/49</t>
  </si>
  <si>
    <t>2142022</t>
  </si>
  <si>
    <t>OBJ220068</t>
  </si>
  <si>
    <t>OaU: oprava sanitárnych rozvodov v sprchovom kúte Košická 2A</t>
  </si>
  <si>
    <t>poistenie majetku 4Q/2022</t>
  </si>
  <si>
    <t>DF2200478</t>
  </si>
  <si>
    <t>DF2200479</t>
  </si>
  <si>
    <t>DF2200480</t>
  </si>
  <si>
    <t>DF2200481</t>
  </si>
  <si>
    <t>DF2200482</t>
  </si>
  <si>
    <t>DF2200483</t>
  </si>
  <si>
    <t>DF2200484</t>
  </si>
  <si>
    <t>DF2200485</t>
  </si>
  <si>
    <t>DF2200486</t>
  </si>
  <si>
    <t>DF2200487</t>
  </si>
  <si>
    <t>DFH220012</t>
  </si>
  <si>
    <t>220355</t>
  </si>
  <si>
    <t>výkon správy ZŠ Hollého 66 za 08/2022</t>
  </si>
  <si>
    <t>22120474</t>
  </si>
  <si>
    <t>popl. za správu bytov 09/2022</t>
  </si>
  <si>
    <t>4539776071</t>
  </si>
  <si>
    <t>vyúčt. el. energie Bratislavská, obytný kontajner 08/2022</t>
  </si>
  <si>
    <t>2652018</t>
  </si>
  <si>
    <t>Mgr. Martin Thomka</t>
  </si>
  <si>
    <t>Pavla Mudroňa 483/28, 036 01 Martin</t>
  </si>
  <si>
    <t>42218373</t>
  </si>
  <si>
    <t>náhrada výdavkov, zastavenie exekúcie Alojz Stelina</t>
  </si>
  <si>
    <t>20220079</t>
  </si>
  <si>
    <t>služby VTZ 01/2022</t>
  </si>
  <si>
    <t>220383</t>
  </si>
  <si>
    <t>preddavky na el.energiu 09/22 v BD a NP</t>
  </si>
  <si>
    <t>2200483</t>
  </si>
  <si>
    <t>refakt.teplo BD Predmestská 8/2022</t>
  </si>
  <si>
    <t>220384</t>
  </si>
  <si>
    <t>upratovanie v priestoroch BD 08/2022</t>
  </si>
  <si>
    <t>220386</t>
  </si>
  <si>
    <t>refakt.energií v bytoch a NP</t>
  </si>
  <si>
    <t>2201006</t>
  </si>
  <si>
    <t>Mestský sociálny podnik Žilina, s.r.o.</t>
  </si>
  <si>
    <t>Vysokoškolákov 1765/8, 010 08 Žilina</t>
  </si>
  <si>
    <t>54232813</t>
  </si>
  <si>
    <t>zmluva Z 201/2022</t>
  </si>
  <si>
    <t>upratovanie Košická 8392/2A 07/2022</t>
  </si>
  <si>
    <t>2201008</t>
  </si>
  <si>
    <t>upratovanie Košická 8392/2A 08/2022</t>
  </si>
  <si>
    <t>DF2200488</t>
  </si>
  <si>
    <t>DF2200489</t>
  </si>
  <si>
    <t>DF2200490</t>
  </si>
  <si>
    <t>DF2200491</t>
  </si>
  <si>
    <t>199308220</t>
  </si>
  <si>
    <t>vyúčt.dodávky tepelnej energie 08/2022</t>
  </si>
  <si>
    <t>062022</t>
  </si>
  <si>
    <t>Hlinská 6, 010 01 Žilina</t>
  </si>
  <si>
    <t>OBJ220074</t>
  </si>
  <si>
    <t>OaU: servis okien a balkonových dverí v bytoch</t>
  </si>
  <si>
    <t>052022</t>
  </si>
  <si>
    <t>OBJ220075</t>
  </si>
  <si>
    <t>OaU: servis okien a výmena skla Košická</t>
  </si>
  <si>
    <t>042022</t>
  </si>
  <si>
    <t>OBJ220062</t>
  </si>
  <si>
    <t>DF2200492</t>
  </si>
  <si>
    <t>DF2200493</t>
  </si>
  <si>
    <t>DF2200494</t>
  </si>
  <si>
    <t>DF2200495</t>
  </si>
  <si>
    <t>DF2200496</t>
  </si>
  <si>
    <t>DF2200497</t>
  </si>
  <si>
    <t>220389</t>
  </si>
  <si>
    <t>220388</t>
  </si>
  <si>
    <t>pripojovací poplatok Segnerova 3400/2-G7</t>
  </si>
  <si>
    <t>220387</t>
  </si>
  <si>
    <t>energie: el.en., plyn v BD Košická 08/22</t>
  </si>
  <si>
    <t>220379</t>
  </si>
  <si>
    <t>1685126797</t>
  </si>
  <si>
    <t>8224530876</t>
  </si>
  <si>
    <t>súdny poplatok Baláž Stanislav</t>
  </si>
  <si>
    <t>DF2200498</t>
  </si>
  <si>
    <t>DF2200499</t>
  </si>
  <si>
    <t>DF2200500</t>
  </si>
  <si>
    <t>DF2200501</t>
  </si>
  <si>
    <t>DF2200502</t>
  </si>
  <si>
    <t>DF2200503</t>
  </si>
  <si>
    <t>DF2200504</t>
  </si>
  <si>
    <t>DF2200505</t>
  </si>
  <si>
    <t>DF2200506</t>
  </si>
  <si>
    <t>DF2200507</t>
  </si>
  <si>
    <t>DF2200508</t>
  </si>
  <si>
    <t>20220094</t>
  </si>
  <si>
    <t>OBJ220079</t>
  </si>
  <si>
    <t>dovoz a výmena komb.sporákov J.Hronca, Korzo, Puškinova</t>
  </si>
  <si>
    <t>2688857065</t>
  </si>
  <si>
    <t>súdny poplatok Lacková Jarmila</t>
  </si>
  <si>
    <t>14092022</t>
  </si>
  <si>
    <t>OBJ220078</t>
  </si>
  <si>
    <t>OaU: montáž laminátovej podlahy Košická 2A</t>
  </si>
  <si>
    <t>220391</t>
  </si>
  <si>
    <t>predd.spotreby energií:plyn  09/2022 v BD a vyúčt.</t>
  </si>
  <si>
    <t>2312022</t>
  </si>
  <si>
    <t>OBJ220081</t>
  </si>
  <si>
    <t>OaU: oprava el. rozvodov Petzvalova 17</t>
  </si>
  <si>
    <t>2322022</t>
  </si>
  <si>
    <t>OBJ220082</t>
  </si>
  <si>
    <t>OaU: oprava DDZ Košická 2A</t>
  </si>
  <si>
    <t>2332022</t>
  </si>
  <si>
    <t>OBJ220080</t>
  </si>
  <si>
    <t>OaU: výmena zámkovej lišty na table Košická 2A</t>
  </si>
  <si>
    <t>2372022</t>
  </si>
  <si>
    <t>OBJ220086</t>
  </si>
  <si>
    <t>OaU: oprava vodovodných rozvodov Korzo 17</t>
  </si>
  <si>
    <t>2362022</t>
  </si>
  <si>
    <t>OBJ220085</t>
  </si>
  <si>
    <t>OaU: oprava el. rozvodov Kempelenova 31</t>
  </si>
  <si>
    <t>20220133</t>
  </si>
  <si>
    <t>ALL BIZ EU, s.r.o.</t>
  </si>
  <si>
    <t>Rosinská cesta 8, 010 08 Žilina</t>
  </si>
  <si>
    <t>51475031</t>
  </si>
  <si>
    <t>OBJ220077</t>
  </si>
  <si>
    <t>dezinfekcia polymérová + germicídnym žiaričom</t>
  </si>
  <si>
    <t>220390</t>
  </si>
  <si>
    <t>OaU: ventilátory</t>
  </si>
  <si>
    <t>DFH220013</t>
  </si>
  <si>
    <t>220406</t>
  </si>
  <si>
    <t>výkon správy ZŠ Hollého 66 za 09/2022</t>
  </si>
  <si>
    <t>DF2200509</t>
  </si>
  <si>
    <t>DF2200510</t>
  </si>
  <si>
    <t>DF2200511</t>
  </si>
  <si>
    <t>DF2200512</t>
  </si>
  <si>
    <t>DF2200513</t>
  </si>
  <si>
    <t>DF2200514</t>
  </si>
  <si>
    <t>DF2200515</t>
  </si>
  <si>
    <t>DF2200516</t>
  </si>
  <si>
    <t>DF2200517</t>
  </si>
  <si>
    <t>DF2200518</t>
  </si>
  <si>
    <t>DF2200519</t>
  </si>
  <si>
    <t>DF2200520</t>
  </si>
  <si>
    <t>DF2200521</t>
  </si>
  <si>
    <t>DF2200522</t>
  </si>
  <si>
    <t>DF2200523</t>
  </si>
  <si>
    <t>DF2200524</t>
  </si>
  <si>
    <t>1282022</t>
  </si>
  <si>
    <t>OBJ220067</t>
  </si>
  <si>
    <t>znalecký posudok: garáž č. súp. 199</t>
  </si>
  <si>
    <t>220399</t>
  </si>
  <si>
    <t>správa bytov, nebytových priestorov a vedenie účtov kúpnych zmlúv 09/2022</t>
  </si>
  <si>
    <t>220393</t>
  </si>
  <si>
    <t>2542022</t>
  </si>
  <si>
    <t>havarijná služba - el. rozvody 09/2022</t>
  </si>
  <si>
    <t>2532022</t>
  </si>
  <si>
    <t>havarijná služba - voda 09/2022</t>
  </si>
  <si>
    <t>15230750</t>
  </si>
  <si>
    <t>zmluvný servis výťahov 09/22</t>
  </si>
  <si>
    <t>19932210</t>
  </si>
  <si>
    <t>20220098</t>
  </si>
  <si>
    <t>OBJ220089</t>
  </si>
  <si>
    <t>dodanie, demontáž a montáž plynovej varnej dosky Kempelenova 39</t>
  </si>
  <si>
    <t>20220853</t>
  </si>
  <si>
    <t>monitoring prev.stavov plynovej kotolne Horný Val 09/2022</t>
  </si>
  <si>
    <t>20220101</t>
  </si>
  <si>
    <t>OBJ220083</t>
  </si>
  <si>
    <t>dovoz a výmena komb.sporákov Petzvalova 43D, Korzo 12</t>
  </si>
  <si>
    <t>15092022</t>
  </si>
  <si>
    <t>OBJ220088</t>
  </si>
  <si>
    <t>OaU: oplechovanie a náter plynovej skrine Košická 2A</t>
  </si>
  <si>
    <t>220061</t>
  </si>
  <si>
    <t>strážna služba 09/22 BD Košická 2A</t>
  </si>
  <si>
    <t>220418</t>
  </si>
  <si>
    <t>poplatky za vystavenie upomienok 8-9/22</t>
  </si>
  <si>
    <t>220420</t>
  </si>
  <si>
    <t>predd.spotreby energií:plyn 10/2022 v BD a NP a vyúčt.</t>
  </si>
  <si>
    <t>20220450</t>
  </si>
  <si>
    <t>OBJ220076</t>
  </si>
  <si>
    <t>kontrola has.prístrojov, revízia Logipark Segnerova</t>
  </si>
  <si>
    <t>262022</t>
  </si>
  <si>
    <t>SESEL, s.r.o.</t>
  </si>
  <si>
    <t>Cesta na štadión 289/47, 010 04 Žilina</t>
  </si>
  <si>
    <t>47193174</t>
  </si>
  <si>
    <t>zmluva o dielo č. Z/278/2022</t>
  </si>
  <si>
    <t>rekonštrukcia strechy na BD Košická 2A</t>
  </si>
  <si>
    <t>DF2200525</t>
  </si>
  <si>
    <t>DF2200526</t>
  </si>
  <si>
    <t>DF2200527</t>
  </si>
  <si>
    <t>DF2200528</t>
  </si>
  <si>
    <t>DF2200529</t>
  </si>
  <si>
    <t>DF2200530</t>
  </si>
  <si>
    <t>DF2200531</t>
  </si>
  <si>
    <t>DF2200532</t>
  </si>
  <si>
    <t>DF2200533</t>
  </si>
  <si>
    <t>16102022</t>
  </si>
  <si>
    <t>OBJ220102</t>
  </si>
  <si>
    <t>OaU: oplechovanie a náter plechov na dverách Borová 43</t>
  </si>
  <si>
    <t>22100028</t>
  </si>
  <si>
    <t>LGP parking&amp;storage s.r.o</t>
  </si>
  <si>
    <t>pravidelná technická prehliadka 3Q22</t>
  </si>
  <si>
    <t>18102022</t>
  </si>
  <si>
    <t>OBJ220111</t>
  </si>
  <si>
    <t>OaU: montáž prietokového ohrievača Bratislavská 40</t>
  </si>
  <si>
    <t>20102022</t>
  </si>
  <si>
    <t>OBJ220105</t>
  </si>
  <si>
    <t>OaU: montáž kuch.linky a laminátovej podlahy Petzvalova 19</t>
  </si>
  <si>
    <t>19102022</t>
  </si>
  <si>
    <t>OBJ220110</t>
  </si>
  <si>
    <t>OaU: demontáž a montáž parapiet na balkóne J.Hronca 17</t>
  </si>
  <si>
    <t>4539776072</t>
  </si>
  <si>
    <t>Pri Rajčianke 8591/4B, 010 47  Žilina</t>
  </si>
  <si>
    <t>5277790720</t>
  </si>
  <si>
    <t>súdny poplatok Turjanová</t>
  </si>
  <si>
    <t>220430</t>
  </si>
  <si>
    <t>OaU: elektroinštalačné a vodárenské práce</t>
  </si>
  <si>
    <t>220429</t>
  </si>
  <si>
    <t>OaU: maliarske práce</t>
  </si>
  <si>
    <t>DF2200534</t>
  </si>
  <si>
    <t>DF2200535</t>
  </si>
  <si>
    <t>DF2200536</t>
  </si>
  <si>
    <t>DF2200537</t>
  </si>
  <si>
    <t>DF2200538</t>
  </si>
  <si>
    <t>DF2200539</t>
  </si>
  <si>
    <t>DF2200540</t>
  </si>
  <si>
    <t>DF2200541</t>
  </si>
  <si>
    <t>DF2200542</t>
  </si>
  <si>
    <t>DF2200543</t>
  </si>
  <si>
    <t>DF2200544</t>
  </si>
  <si>
    <t>DF2200545</t>
  </si>
  <si>
    <t>DF2200546</t>
  </si>
  <si>
    <t>220426</t>
  </si>
  <si>
    <t>spracovanie poštových poukazov 09/2022</t>
  </si>
  <si>
    <t>220428</t>
  </si>
  <si>
    <t>5022</t>
  </si>
  <si>
    <t>Martin Turček - STAVEBNÉ ROZPOČTY</t>
  </si>
  <si>
    <t>Trnové 1428/8, 010 01 Žilina</t>
  </si>
  <si>
    <t>46445633</t>
  </si>
  <si>
    <t>OBJ220108</t>
  </si>
  <si>
    <t>spracovanie stav.rozpočtu na rekonštrukciu strechy J. Hronca 3</t>
  </si>
  <si>
    <t>332022</t>
  </si>
  <si>
    <t>OBJ220106</t>
  </si>
  <si>
    <t>OaU: oprava havarijného stavu čerpadla Predmestská 86</t>
  </si>
  <si>
    <t>202202913</t>
  </si>
  <si>
    <t>GAJOS, s.r.o.</t>
  </si>
  <si>
    <t>M. Pišúta 4022, 031 01 Liptovský Mikuláš</t>
  </si>
  <si>
    <t>36376981</t>
  </si>
  <si>
    <t>OBJ220087</t>
  </si>
  <si>
    <t>povinná výbava do kotolne ZŠ Hollého 66</t>
  </si>
  <si>
    <t>220427</t>
  </si>
  <si>
    <t>220423</t>
  </si>
  <si>
    <t>2209077</t>
  </si>
  <si>
    <t>Resistance, s.r.o.</t>
  </si>
  <si>
    <t>Lietava 41, 013 18 Lietava</t>
  </si>
  <si>
    <t>51433214</t>
  </si>
  <si>
    <t>OBJ220090</t>
  </si>
  <si>
    <t>projekt elektroinštalácie Bratislavská 50</t>
  </si>
  <si>
    <t>22120532</t>
  </si>
  <si>
    <t>popl. za správu bytov 10/2022</t>
  </si>
  <si>
    <t>20220070</t>
  </si>
  <si>
    <t>paušálna odmena 09/2022</t>
  </si>
  <si>
    <t>17205484</t>
  </si>
  <si>
    <t>17205486</t>
  </si>
  <si>
    <t>oprava výťahu J.Hronca 7</t>
  </si>
  <si>
    <t>20221002</t>
  </si>
  <si>
    <t>FEROSTA a spol. s r.o.</t>
  </si>
  <si>
    <t>Oslobodenia 164/18, 013 05 Belá</t>
  </si>
  <si>
    <t>48282235</t>
  </si>
  <si>
    <t>OBJ220107</t>
  </si>
  <si>
    <t>montáž systému autom.dopúšťania - kotolňa Hollého</t>
  </si>
  <si>
    <t>DF2200547</t>
  </si>
  <si>
    <t>DF2200548</t>
  </si>
  <si>
    <t>DF2200549</t>
  </si>
  <si>
    <t>DF2200550</t>
  </si>
  <si>
    <t>DF2200551</t>
  </si>
  <si>
    <t>2022065</t>
  </si>
  <si>
    <t>OBJ220115</t>
  </si>
  <si>
    <t>zadebnenie dvoch bytov Bratislavská 48</t>
  </si>
  <si>
    <t>20220104</t>
  </si>
  <si>
    <t>OBJ220116</t>
  </si>
  <si>
    <t>dovoz a výmena komb.sporákov J.Hronca 21, Petzvalova 43A</t>
  </si>
  <si>
    <t>24102022</t>
  </si>
  <si>
    <t>OBJ220114</t>
  </si>
  <si>
    <t>OaU: demontáž a montáž obkladu v kuchyni Petzvalova 19</t>
  </si>
  <si>
    <t>23102022</t>
  </si>
  <si>
    <t>OBJ220113</t>
  </si>
  <si>
    <t>OaU: demontáž a montáž brán Petzvalova 43A, Petzvalova 5, Korzo 1</t>
  </si>
  <si>
    <t>199309220</t>
  </si>
  <si>
    <t>vyúčt.dodávky tepelnej energie 09/2022</t>
  </si>
  <si>
    <t>DF2200552</t>
  </si>
  <si>
    <t>DF2200553</t>
  </si>
  <si>
    <t>DF2200554</t>
  </si>
  <si>
    <t>DF2200555</t>
  </si>
  <si>
    <t>DF2200556</t>
  </si>
  <si>
    <t>DF2200557</t>
  </si>
  <si>
    <t>DF2200558</t>
  </si>
  <si>
    <t>DF2200559</t>
  </si>
  <si>
    <t>DF2200560</t>
  </si>
  <si>
    <t>DF2200561</t>
  </si>
  <si>
    <t>5585641235</t>
  </si>
  <si>
    <t>súdny poplatok Holba, Holbová</t>
  </si>
  <si>
    <t>220438</t>
  </si>
  <si>
    <t>vodné, stočné 3.Q/22</t>
  </si>
  <si>
    <t>220439</t>
  </si>
  <si>
    <t>upratovanie v priestoroch BD 09/2022</t>
  </si>
  <si>
    <t>220431</t>
  </si>
  <si>
    <t>refakt.teplo Predmestská 9/2022</t>
  </si>
  <si>
    <t>220440</t>
  </si>
  <si>
    <t>energie: el.en., plyn v BD Košická 09/22</t>
  </si>
  <si>
    <t>220436</t>
  </si>
  <si>
    <t>220435</t>
  </si>
  <si>
    <t>OaU: práce v BD a NP - výmena termost.hlavíc</t>
  </si>
  <si>
    <t>220433</t>
  </si>
  <si>
    <t>OaU: pokládka laminátovej podlahy Košická 2A</t>
  </si>
  <si>
    <t>220434</t>
  </si>
  <si>
    <t>OaU: výmena podlahy Korzo 12, maľovanie v BD</t>
  </si>
  <si>
    <t>22477</t>
  </si>
  <si>
    <t>Certa K s.r.o.</t>
  </si>
  <si>
    <t>Murániho 33/6, 949 11 Nitra</t>
  </si>
  <si>
    <t>46192557</t>
  </si>
  <si>
    <t>OBJ220064</t>
  </si>
  <si>
    <t>elektronické PRVN s rádiovým odpočtom údajov</t>
  </si>
  <si>
    <t>DF2200562</t>
  </si>
  <si>
    <t>DF2200563</t>
  </si>
  <si>
    <t>DF2200564</t>
  </si>
  <si>
    <t>DF2200565</t>
  </si>
  <si>
    <t>59221</t>
  </si>
  <si>
    <t>JUDr. Ján Sokol súdny exekútor</t>
  </si>
  <si>
    <t>Jantárová 30, 040 01 Košice</t>
  </si>
  <si>
    <t>31275010</t>
  </si>
  <si>
    <t>náhrada výdavkov, zastavenie exekúcie Denisa Orlická</t>
  </si>
  <si>
    <t>32820</t>
  </si>
  <si>
    <t>89221</t>
  </si>
  <si>
    <t>220063</t>
  </si>
  <si>
    <t>GOLEM, s.r.o.</t>
  </si>
  <si>
    <t>Okoličianska 824, 031 04 Liptovský Mikuláš</t>
  </si>
  <si>
    <t>50139355</t>
  </si>
  <si>
    <t>OBJ220123</t>
  </si>
  <si>
    <t>sťahovacie služby Veľká Okružná 3</t>
  </si>
  <si>
    <t>DF2200566</t>
  </si>
  <si>
    <t>DF2200567</t>
  </si>
  <si>
    <t>DF2200568</t>
  </si>
  <si>
    <t>DF2200569</t>
  </si>
  <si>
    <t>2201010</t>
  </si>
  <si>
    <t>upratovanie Košická 8392/2A 09/2022</t>
  </si>
  <si>
    <t>4523208728</t>
  </si>
  <si>
    <t>súdny poplatok Fatáková Jessica</t>
  </si>
  <si>
    <t>6066388007</t>
  </si>
  <si>
    <t>súdny poplatok Štalmach/Štalmachová</t>
  </si>
  <si>
    <t>20220069</t>
  </si>
  <si>
    <t>VITAFORS spol. s r.o.</t>
  </si>
  <si>
    <t>Hviezdoslavova 48, 010 01 Žilina</t>
  </si>
  <si>
    <t>46105930</t>
  </si>
  <si>
    <t>OBJ220118</t>
  </si>
  <si>
    <t>dezinsekčné práce Kempelenova 39</t>
  </si>
  <si>
    <t>DFH220014</t>
  </si>
  <si>
    <t>312022</t>
  </si>
  <si>
    <t>prevádzka plynovej kotolne 09/2022</t>
  </si>
  <si>
    <t>DF2200570</t>
  </si>
  <si>
    <t>DF2200571</t>
  </si>
  <si>
    <t>DF2200572</t>
  </si>
  <si>
    <t>DF2200573</t>
  </si>
  <si>
    <t>DF2200574</t>
  </si>
  <si>
    <t>DF2200575</t>
  </si>
  <si>
    <t>20220109</t>
  </si>
  <si>
    <t>OBJ220121</t>
  </si>
  <si>
    <t>výmena komb.sporákov J.Hronca 27, Korzo 6, odstránenie havárie</t>
  </si>
  <si>
    <t>25102022</t>
  </si>
  <si>
    <t>OBJ220122</t>
  </si>
  <si>
    <t>OaU: výmena sklenej výplne dverí za plech J. Hronca 15</t>
  </si>
  <si>
    <t>220443</t>
  </si>
  <si>
    <t>predd.vodné, stočné 10/2022 v BD</t>
  </si>
  <si>
    <t>220444</t>
  </si>
  <si>
    <t>čistiace potreby areál Hollého</t>
  </si>
  <si>
    <t>220445</t>
  </si>
  <si>
    <t>predd.spotreby energií: plyn 10/2022 v BD</t>
  </si>
  <si>
    <t>220442</t>
  </si>
  <si>
    <t>preddavky na el.energiu 10/22 v BD a NP</t>
  </si>
  <si>
    <t>DF2200576</t>
  </si>
  <si>
    <t>DF2200577</t>
  </si>
  <si>
    <t>DF2200578</t>
  </si>
  <si>
    <t>DF2200579</t>
  </si>
  <si>
    <t>DF2200580</t>
  </si>
  <si>
    <t>DF2200581</t>
  </si>
  <si>
    <t>DF2200582</t>
  </si>
  <si>
    <t>15231678</t>
  </si>
  <si>
    <t>zmluvný servis výťahov 10/22</t>
  </si>
  <si>
    <t>12</t>
  </si>
  <si>
    <t>Borová 3345/33, 010 07 Žilina</t>
  </si>
  <si>
    <t>OBJ220066</t>
  </si>
  <si>
    <t>OaU: dodanie a montáž kuchynskej linky Kempelenova 37</t>
  </si>
  <si>
    <t>2902022</t>
  </si>
  <si>
    <t>OBJ220104</t>
  </si>
  <si>
    <t>2912022</t>
  </si>
  <si>
    <t>OBJ220109</t>
  </si>
  <si>
    <t>OaU: oprava vodovodných rozvodov J. Hronca 15</t>
  </si>
  <si>
    <t>17205570</t>
  </si>
  <si>
    <t>kniha kontrol výťahu</t>
  </si>
  <si>
    <t>17205565</t>
  </si>
  <si>
    <t>1022215</t>
  </si>
  <si>
    <t>VAIT, s.r.o.</t>
  </si>
  <si>
    <t>Klimovské 29, 010 01 Žilina</t>
  </si>
  <si>
    <t>36407089</t>
  </si>
  <si>
    <t>OBJ220073</t>
  </si>
  <si>
    <t>dodávka a výmena okien Jedlíkova 8</t>
  </si>
  <si>
    <t>DF2200583</t>
  </si>
  <si>
    <t>DF2200584</t>
  </si>
  <si>
    <t>DF2200585</t>
  </si>
  <si>
    <t>DF2200586</t>
  </si>
  <si>
    <t>DF2200587</t>
  </si>
  <si>
    <t>DF2200588</t>
  </si>
  <si>
    <t>DF2200589</t>
  </si>
  <si>
    <t>DF2200590</t>
  </si>
  <si>
    <t>DF2200591</t>
  </si>
  <si>
    <t>6552089960</t>
  </si>
  <si>
    <t>súdny poplatok Fatáková/Faták</t>
  </si>
  <si>
    <t>5139200777</t>
  </si>
  <si>
    <t>3052022</t>
  </si>
  <si>
    <t>havarijná služba - voda 10/2022</t>
  </si>
  <si>
    <t>3062022</t>
  </si>
  <si>
    <t>havarijná služba - el. rozvody 10/2022</t>
  </si>
  <si>
    <t>40221004</t>
  </si>
  <si>
    <t>odborná prehliadka komína/dymovodu Horný Val 24</t>
  </si>
  <si>
    <t>40221009</t>
  </si>
  <si>
    <t>servisné práce vyhradeného technického zariadenia Horný Val 24</t>
  </si>
  <si>
    <t>2962022</t>
  </si>
  <si>
    <t>OBJ220130</t>
  </si>
  <si>
    <t>OaU: oprava rozvodov Petzvalova 17</t>
  </si>
  <si>
    <t>220451</t>
  </si>
  <si>
    <t>správa bytov, nebytových priestorov a vedenie účtov kúpnych zmlúv 10/2022</t>
  </si>
  <si>
    <t>19932211</t>
  </si>
  <si>
    <t>DFH220015</t>
  </si>
  <si>
    <t>DFH220016</t>
  </si>
  <si>
    <t>382022</t>
  </si>
  <si>
    <t>prevádzka plynovej kotolne 10/2022</t>
  </si>
  <si>
    <t>220458</t>
  </si>
  <si>
    <t>výkon správy ZŠ Hollého 66 za 10/2022</t>
  </si>
  <si>
    <t>DF2200592</t>
  </si>
  <si>
    <t>DF2200593</t>
  </si>
  <si>
    <t>DF2200594</t>
  </si>
  <si>
    <t>DF2200595</t>
  </si>
  <si>
    <t>DF2200596</t>
  </si>
  <si>
    <t>220471</t>
  </si>
  <si>
    <t>predd.spotreby energií: plyn 11/2022 v BD a NP a vyúčt.</t>
  </si>
  <si>
    <t>26112022</t>
  </si>
  <si>
    <t>OBJ220134</t>
  </si>
  <si>
    <t>OaU: zabetónovanie podlahy po oprave kúrenia Petzvalova 17</t>
  </si>
  <si>
    <t>OBJ220119</t>
  </si>
  <si>
    <t>strážna služba BD Košická 2A 10/2022</t>
  </si>
  <si>
    <t>20220940</t>
  </si>
  <si>
    <t>monitoring prev.stavov plynovej kotolne Horný Val 10/2022</t>
  </si>
  <si>
    <t>VKP servis, s.r.o.</t>
  </si>
  <si>
    <t>Radlinského 18, 010 01 Žilina</t>
  </si>
  <si>
    <t>52547141</t>
  </si>
  <si>
    <t>OBJ220131</t>
  </si>
  <si>
    <t>OaU: oprava plynového kotla Petzvalova 21</t>
  </si>
  <si>
    <t>DF2200597</t>
  </si>
  <si>
    <t>DF2200598</t>
  </si>
  <si>
    <t>DF2200599</t>
  </si>
  <si>
    <t>DF2200600</t>
  </si>
  <si>
    <t>DF2200601</t>
  </si>
  <si>
    <t>220472</t>
  </si>
  <si>
    <t>predd.spotreby energií:plyn 11/2022 v BD</t>
  </si>
  <si>
    <t>220473</t>
  </si>
  <si>
    <t>2415032412</t>
  </si>
  <si>
    <t>súdny poplatok Fatáková</t>
  </si>
  <si>
    <t>paušálna odmena 10/2022</t>
  </si>
  <si>
    <t>3748492323</t>
  </si>
  <si>
    <t>súdny poplatok Tkáč</t>
  </si>
  <si>
    <t>DF2200602</t>
  </si>
  <si>
    <t>DF2200603</t>
  </si>
  <si>
    <t>DF2200604</t>
  </si>
  <si>
    <t>DF2200605</t>
  </si>
  <si>
    <t>DF2200606</t>
  </si>
  <si>
    <t>DF2200607</t>
  </si>
  <si>
    <t>DF2200608</t>
  </si>
  <si>
    <t>220474</t>
  </si>
  <si>
    <t>predd.vodné, stočné 11/2022 v BD</t>
  </si>
  <si>
    <t>220476</t>
  </si>
  <si>
    <t>spracovanie poštových poukazov 10/2022</t>
  </si>
  <si>
    <t>220475</t>
  </si>
  <si>
    <t>poplatky za vystavenie upomienok 10/22</t>
  </si>
  <si>
    <t>220477</t>
  </si>
  <si>
    <t>22120588</t>
  </si>
  <si>
    <t>popl. za správu bytov 11/2022</t>
  </si>
  <si>
    <t>17205633</t>
  </si>
  <si>
    <t>oprava výťahu J. Hronca 21</t>
  </si>
  <si>
    <t>2573152093</t>
  </si>
  <si>
    <t>súdny poplatok Jonáš</t>
  </si>
  <si>
    <t>DF2200609</t>
  </si>
  <si>
    <t>DF2200610</t>
  </si>
  <si>
    <t>DF2200611</t>
  </si>
  <si>
    <t>DF2200612</t>
  </si>
  <si>
    <t>DF2200613</t>
  </si>
  <si>
    <t>220485</t>
  </si>
  <si>
    <t>OaU: elektroinštalačné a vodárenské práce, položenie dlažby</t>
  </si>
  <si>
    <t>220479</t>
  </si>
  <si>
    <t>refakt.teplo BD Predmestská 10/2022</t>
  </si>
  <si>
    <t>220484</t>
  </si>
  <si>
    <t>220483</t>
  </si>
  <si>
    <t>OaU: výmena podlahy, dlažby, maľovanie v BD</t>
  </si>
  <si>
    <t>220481</t>
  </si>
  <si>
    <t>DF2200614</t>
  </si>
  <si>
    <t>DF2200615</t>
  </si>
  <si>
    <t>DF2200616</t>
  </si>
  <si>
    <t>DF2200617</t>
  </si>
  <si>
    <t>DF2200618</t>
  </si>
  <si>
    <t>DF2200619</t>
  </si>
  <si>
    <t>DF2200620</t>
  </si>
  <si>
    <t>DF2200621</t>
  </si>
  <si>
    <t>220488</t>
  </si>
  <si>
    <t>upratovanie v priestoroch BD 10/2022</t>
  </si>
  <si>
    <t>2022088</t>
  </si>
  <si>
    <t>OBJ220144</t>
  </si>
  <si>
    <t>OaU: montáž elektroinštalácie a ventilátora Hollého 52</t>
  </si>
  <si>
    <t>20220121</t>
  </si>
  <si>
    <t>OBJ220129</t>
  </si>
  <si>
    <t>OaU: revízia rozvodu plynu v bytoch</t>
  </si>
  <si>
    <t>20220510</t>
  </si>
  <si>
    <t>OBJ220146</t>
  </si>
  <si>
    <t>kontrola has.prístrojov, revízia Horný Val 67/24</t>
  </si>
  <si>
    <t>strážna služba BD Košická 2A 01.-14.11.2022</t>
  </si>
  <si>
    <t>432022</t>
  </si>
  <si>
    <t>OBJ220142</t>
  </si>
  <si>
    <t>OaU: zaplechovanie 2 ks dverí J. Hronca 19</t>
  </si>
  <si>
    <t>199310220</t>
  </si>
  <si>
    <t>3182022</t>
  </si>
  <si>
    <t>OBJ220140</t>
  </si>
  <si>
    <t>OaU: oprava vodovodných rozvodov Košická 2A</t>
  </si>
  <si>
    <t>vyúčt.dodávky tepelnej energie 10/2022</t>
  </si>
  <si>
    <t>DF2200622</t>
  </si>
  <si>
    <t>DF2200623</t>
  </si>
  <si>
    <t>DF2200624</t>
  </si>
  <si>
    <t>DF2200625</t>
  </si>
  <si>
    <t>DF2200626</t>
  </si>
  <si>
    <t>DF2200627</t>
  </si>
  <si>
    <t>DF2200628</t>
  </si>
  <si>
    <t>DF2200629</t>
  </si>
  <si>
    <t>DF2200630</t>
  </si>
  <si>
    <t>DF2200631</t>
  </si>
  <si>
    <t>DF2200632</t>
  </si>
  <si>
    <t>20220512</t>
  </si>
  <si>
    <t>požiarna prevencia Horný Val 67/24</t>
  </si>
  <si>
    <t>0679460337</t>
  </si>
  <si>
    <t>220489</t>
  </si>
  <si>
    <t>energie: el.en., plyn v BD Košická 10/22</t>
  </si>
  <si>
    <t>20221103</t>
  </si>
  <si>
    <t>OBJ220147</t>
  </si>
  <si>
    <t>skladovanie a vývoz odpadu areál Hollého</t>
  </si>
  <si>
    <t>4539776073</t>
  </si>
  <si>
    <t>DF2200633</t>
  </si>
  <si>
    <t>DF2200634</t>
  </si>
  <si>
    <t>DF2200635</t>
  </si>
  <si>
    <t>DF2200636</t>
  </si>
  <si>
    <t>DF2200637</t>
  </si>
  <si>
    <t>DF2200638</t>
  </si>
  <si>
    <t>DF2200639</t>
  </si>
  <si>
    <t>DF2200640</t>
  </si>
  <si>
    <t>DF2200641</t>
  </si>
  <si>
    <t>DF2200642</t>
  </si>
  <si>
    <t>DF2200643</t>
  </si>
  <si>
    <t>DF2200644</t>
  </si>
  <si>
    <t>DF2200645</t>
  </si>
  <si>
    <t>58720</t>
  </si>
  <si>
    <t>preddavok trovy exe.vypratanie Bitarovcová Lenka</t>
  </si>
  <si>
    <t>1352979924</t>
  </si>
  <si>
    <t>súdny poplatok Rojková</t>
  </si>
  <si>
    <t>7554589734</t>
  </si>
  <si>
    <t>súdny poplatok AVAM FINANCIAL GROUP</t>
  </si>
  <si>
    <t>220492</t>
  </si>
  <si>
    <t>preddavky na energiu 9,10/2022 v BD a NP</t>
  </si>
  <si>
    <t>220493</t>
  </si>
  <si>
    <t>20210058</t>
  </si>
  <si>
    <t>Okienkovo s.r.o.</t>
  </si>
  <si>
    <t>Platanová 1A, 010 07 Žilina</t>
  </si>
  <si>
    <t>52230937</t>
  </si>
  <si>
    <t>OBJ210044</t>
  </si>
  <si>
    <t>OaU: dodanie a montáž okien Moyzesova 926/55/3</t>
  </si>
  <si>
    <t>1308684826</t>
  </si>
  <si>
    <t>súdny poplatok Kluknavská</t>
  </si>
  <si>
    <t xml:space="preserve">súdny poplatok Bartoš </t>
  </si>
  <si>
    <t>9667004965</t>
  </si>
  <si>
    <t>DF2200646</t>
  </si>
  <si>
    <t>DF2200647</t>
  </si>
  <si>
    <t>DF2200648</t>
  </si>
  <si>
    <t>2201012</t>
  </si>
  <si>
    <t>upratovanie Košická 8392/2A 10/2022</t>
  </si>
  <si>
    <t>1022220</t>
  </si>
  <si>
    <t>OBJ220084</t>
  </si>
  <si>
    <t>dodávka a výmena okien Pittsburgská 2</t>
  </si>
  <si>
    <t>3202022</t>
  </si>
  <si>
    <t>OBJ220145</t>
  </si>
  <si>
    <t>OaU: odstavenie vody Bratislavská 46</t>
  </si>
  <si>
    <t>Marián Zehnal</t>
  </si>
  <si>
    <t>Krásno nad Kysucou 202, 023 02 Krásno nad Kysucou</t>
  </si>
  <si>
    <t>43296998</t>
  </si>
  <si>
    <t>OBJ220143</t>
  </si>
  <si>
    <t>čistenie dažďových zvodov a strechy areál Hollého</t>
  </si>
  <si>
    <t>DF2200649</t>
  </si>
  <si>
    <t>DF2200650</t>
  </si>
  <si>
    <t>DF2200651</t>
  </si>
  <si>
    <t>DF2200652</t>
  </si>
  <si>
    <t>DF2200653</t>
  </si>
  <si>
    <t>DF2200654</t>
  </si>
  <si>
    <t>DF2200655</t>
  </si>
  <si>
    <t>DF2200656</t>
  </si>
  <si>
    <t>DF2200657</t>
  </si>
  <si>
    <t>17205726</t>
  </si>
  <si>
    <t>OBJ220095</t>
  </si>
  <si>
    <t>17205724</t>
  </si>
  <si>
    <t>OBJ220094</t>
  </si>
  <si>
    <t>17205725</t>
  </si>
  <si>
    <t>OBJ220098</t>
  </si>
  <si>
    <t>oprava výťahu Segnerova 6</t>
  </si>
  <si>
    <t>17205723</t>
  </si>
  <si>
    <t>OBJ220091</t>
  </si>
  <si>
    <t>17205691</t>
  </si>
  <si>
    <t>OBJ220099</t>
  </si>
  <si>
    <t>17205705</t>
  </si>
  <si>
    <t>OBJ220097</t>
  </si>
  <si>
    <t>oprava výťahu Segnerova 3400/4</t>
  </si>
  <si>
    <t>17205714</t>
  </si>
  <si>
    <t>17205690</t>
  </si>
  <si>
    <t>OBJ220096</t>
  </si>
  <si>
    <t>oprava výťahu Segnerova 3400/2</t>
  </si>
  <si>
    <t>17205710</t>
  </si>
  <si>
    <t>OBJ220093</t>
  </si>
  <si>
    <t>17205708</t>
  </si>
  <si>
    <t>OBJ220092</t>
  </si>
  <si>
    <t>17205707</t>
  </si>
  <si>
    <t>OBJ220101</t>
  </si>
  <si>
    <t>oprava výťahu Kempelenova 33</t>
  </si>
  <si>
    <t>17205706</t>
  </si>
  <si>
    <t>OBJ220100</t>
  </si>
  <si>
    <t>220494</t>
  </si>
  <si>
    <t>pripojovací poplatok Segnerova 3400/2, Kempelenova 29</t>
  </si>
  <si>
    <t>220490</t>
  </si>
  <si>
    <t>preddavky na el.energiu 11/22 v BD a NP</t>
  </si>
  <si>
    <t>DF2200658</t>
  </si>
  <si>
    <t>202230</t>
  </si>
  <si>
    <t>OBJ220126</t>
  </si>
  <si>
    <t>vypratanie bytu a výmena vstupných dverí Košická 2A</t>
  </si>
  <si>
    <t>202231</t>
  </si>
  <si>
    <t>OBJ220125</t>
  </si>
  <si>
    <t>oprava podlahy a výmena 2 ks dverí Jaseňová 4</t>
  </si>
  <si>
    <t>202232</t>
  </si>
  <si>
    <t>OBJ220135</t>
  </si>
  <si>
    <t>výmena vstupných dverí J.Hronca 15</t>
  </si>
  <si>
    <t>202233</t>
  </si>
  <si>
    <t>OBJ220128</t>
  </si>
  <si>
    <t>vypratanie bytu Korzo 12</t>
  </si>
  <si>
    <t>202234</t>
  </si>
  <si>
    <t>OBJ220127</t>
  </si>
  <si>
    <t>výmena vstupných dverí Korzo 35</t>
  </si>
  <si>
    <t>17205746</t>
  </si>
  <si>
    <t>oprava výťahu Kempelenova 29 a 31</t>
  </si>
  <si>
    <t>DF2200659</t>
  </si>
  <si>
    <t>DF2200660</t>
  </si>
  <si>
    <t>DF2200661</t>
  </si>
  <si>
    <t>DF2200662</t>
  </si>
  <si>
    <t>DF2200663</t>
  </si>
  <si>
    <t>DF2200664</t>
  </si>
  <si>
    <t>PM DDD s.r.o.</t>
  </si>
  <si>
    <t>Na Sihoti 558/10, 010 01 Žilina</t>
  </si>
  <si>
    <t>51482649</t>
  </si>
  <si>
    <t>OBJ220160</t>
  </si>
  <si>
    <t>dezinsekčné práce Petzvalova 17</t>
  </si>
  <si>
    <t>17205770</t>
  </si>
  <si>
    <t>oprava výťahov J. Hronca, Kempelenova</t>
  </si>
  <si>
    <t>12022</t>
  </si>
  <si>
    <t>Juraj Palan</t>
  </si>
  <si>
    <t>Gabajová 3, 010 01 Žilina</t>
  </si>
  <si>
    <t>33863750</t>
  </si>
  <si>
    <t>OBJ220133</t>
  </si>
  <si>
    <t>OaU: odstránenie odpadnutej omietky Korzo 13</t>
  </si>
  <si>
    <t>17205791</t>
  </si>
  <si>
    <t>oprava výťahu Korzo 19</t>
  </si>
  <si>
    <t>3332022</t>
  </si>
  <si>
    <t>OBJ220170</t>
  </si>
  <si>
    <t>OaU: montáž meračov tepla</t>
  </si>
  <si>
    <t>3252022</t>
  </si>
  <si>
    <t>OBJ220164</t>
  </si>
  <si>
    <t>kontrola rozvodov vody, kanalizácie Bratislavská 48</t>
  </si>
  <si>
    <t>DF2200665</t>
  </si>
  <si>
    <t>1542021</t>
  </si>
  <si>
    <t>OBJ220137</t>
  </si>
  <si>
    <t>znalecký posudok Polomská 1781/4</t>
  </si>
  <si>
    <t>DF2200666</t>
  </si>
  <si>
    <t>DF2200667</t>
  </si>
  <si>
    <t>DF2200668</t>
  </si>
  <si>
    <t>DF2200669</t>
  </si>
  <si>
    <t>DF2200670</t>
  </si>
  <si>
    <t>DF2200671</t>
  </si>
  <si>
    <t>DF2200672</t>
  </si>
  <si>
    <t>DF2200673</t>
  </si>
  <si>
    <t>DF2200674</t>
  </si>
  <si>
    <t>DF2200675</t>
  </si>
  <si>
    <t>DF2200676</t>
  </si>
  <si>
    <t>DF2200677</t>
  </si>
  <si>
    <t>DF2200678</t>
  </si>
  <si>
    <t>DF2200679</t>
  </si>
  <si>
    <t>DF2200680</t>
  </si>
  <si>
    <t>DF2200681</t>
  </si>
  <si>
    <t>DFH220017</t>
  </si>
  <si>
    <t>20220525</t>
  </si>
  <si>
    <t>OBJ220177</t>
  </si>
  <si>
    <t>revízia, kontrola - BD Hajik</t>
  </si>
  <si>
    <t>1020220062</t>
  </si>
  <si>
    <t>47994370</t>
  </si>
  <si>
    <t>OBJ220112</t>
  </si>
  <si>
    <t>oprava a výmena elektroinštalácie Veľká Okružná 3</t>
  </si>
  <si>
    <t>1642022</t>
  </si>
  <si>
    <t xml:space="preserve">Asana </t>
  </si>
  <si>
    <t xml:space="preserve">Rosina 851, 013 22 Rosina Žilina </t>
  </si>
  <si>
    <t>OBJ220138</t>
  </si>
  <si>
    <t>deratizácia v 79 BD</t>
  </si>
  <si>
    <t>15232748</t>
  </si>
  <si>
    <t>servis výťahov 11/2022</t>
  </si>
  <si>
    <t>220496</t>
  </si>
  <si>
    <t xml:space="preserve">predd.spotreby energií: plyn 11/2022 v BD </t>
  </si>
  <si>
    <t>1912920749</t>
  </si>
  <si>
    <t>súdny poplatok Genšiňáková</t>
  </si>
  <si>
    <t>1790583684</t>
  </si>
  <si>
    <t>súdny poplatok Dolinayová</t>
  </si>
  <si>
    <t>1164256016</t>
  </si>
  <si>
    <t xml:space="preserve">Okresný súd Žilina </t>
  </si>
  <si>
    <t>súdny poplatok Kmotric</t>
  </si>
  <si>
    <t>8338611844</t>
  </si>
  <si>
    <t>220508</t>
  </si>
  <si>
    <t xml:space="preserve">Nanterská 8399/29, 010 08 Žilina </t>
  </si>
  <si>
    <t>výkon správy ZŠ Hollého 66 za 11/2022</t>
  </si>
  <si>
    <t>DF2200682</t>
  </si>
  <si>
    <t>DF2200683</t>
  </si>
  <si>
    <t>DF2200684</t>
  </si>
  <si>
    <t>DF2200685</t>
  </si>
  <si>
    <t>DF2200686</t>
  </si>
  <si>
    <t>DF2200687</t>
  </si>
  <si>
    <t>DF2200688</t>
  </si>
  <si>
    <t>DF2200689</t>
  </si>
  <si>
    <t>DF2200690</t>
  </si>
  <si>
    <t>DF2200691</t>
  </si>
  <si>
    <t>DF2200692</t>
  </si>
  <si>
    <t>DF2200693</t>
  </si>
  <si>
    <t>DF2200694</t>
  </si>
  <si>
    <t>DF2200695</t>
  </si>
  <si>
    <t>DF2200696</t>
  </si>
  <si>
    <t>DF2200697</t>
  </si>
  <si>
    <t>DF2200698</t>
  </si>
  <si>
    <t>DF2200699</t>
  </si>
  <si>
    <t>DF2200700</t>
  </si>
  <si>
    <t>DF2200701</t>
  </si>
  <si>
    <t>DF2200702</t>
  </si>
  <si>
    <t>DF2200703</t>
  </si>
  <si>
    <t>DF2200704</t>
  </si>
  <si>
    <t>DF2200705</t>
  </si>
  <si>
    <t>DF2200706</t>
  </si>
  <si>
    <t>DF2200707</t>
  </si>
  <si>
    <t>DF2200708</t>
  </si>
  <si>
    <t>DF2200709</t>
  </si>
  <si>
    <t>DF2200710</t>
  </si>
  <si>
    <t>DF2200711</t>
  </si>
  <si>
    <t>DF2200712</t>
  </si>
  <si>
    <t>DF2200713</t>
  </si>
  <si>
    <t>DF2200714</t>
  </si>
  <si>
    <t>DF2200715</t>
  </si>
  <si>
    <t>DF2200716</t>
  </si>
  <si>
    <t>220527</t>
  </si>
  <si>
    <t>220528</t>
  </si>
  <si>
    <t>202240</t>
  </si>
  <si>
    <t>OBJ220158</t>
  </si>
  <si>
    <t>odstránenie havárie zatekania vody Bratislavská 50</t>
  </si>
  <si>
    <t>202239</t>
  </si>
  <si>
    <t>OBJ220154</t>
  </si>
  <si>
    <t>oprava rozbitého  zadebnenia okien Bratislavská 48</t>
  </si>
  <si>
    <t>202237</t>
  </si>
  <si>
    <t>OBJ220157</t>
  </si>
  <si>
    <t>výmena vstupných dverí Korzo 17</t>
  </si>
  <si>
    <t>202236</t>
  </si>
  <si>
    <t>OBJ220156</t>
  </si>
  <si>
    <t>zadebnenie okien a dverí, odstavenie od vody Sasinkova 29</t>
  </si>
  <si>
    <t>202235</t>
  </si>
  <si>
    <t>OBJ220155</t>
  </si>
  <si>
    <t>odvoz materiálu a zadebnenie okien a dverí Sasinkova 29</t>
  </si>
  <si>
    <t>14202708</t>
  </si>
  <si>
    <t>OBJ220148</t>
  </si>
  <si>
    <t>oprava výťahu Korzo 12</t>
  </si>
  <si>
    <t>220524</t>
  </si>
  <si>
    <t>poplatky za vystavenie upomienok 11/22</t>
  </si>
  <si>
    <t>220523</t>
  </si>
  <si>
    <t>220526</t>
  </si>
  <si>
    <t>predd.spotreby energií:plyn 12/2022 v BD a NP a vyúčt.</t>
  </si>
  <si>
    <t>220529</t>
  </si>
  <si>
    <t>upratovanie v priestoroch BD 11/2022</t>
  </si>
  <si>
    <t>220521</t>
  </si>
  <si>
    <t>popl.za vyhotovenie zmlúv o prevode vlastníctva</t>
  </si>
  <si>
    <t>220501</t>
  </si>
  <si>
    <t>správa bytov, nebytových priestorov a vedenie účtov kúpnych zmlúv 11/2022</t>
  </si>
  <si>
    <t>220522</t>
  </si>
  <si>
    <t>2022040</t>
  </si>
  <si>
    <t>OBJ220141</t>
  </si>
  <si>
    <t>podanie návrhu na OS Oľga Králiková a Anton Králik</t>
  </si>
  <si>
    <t>2022041</t>
  </si>
  <si>
    <t>podanie návrhu na OS Michal Kramar</t>
  </si>
  <si>
    <t>2022042</t>
  </si>
  <si>
    <t>podanie návrhu na OS Andrea Balážová</t>
  </si>
  <si>
    <t>podanie návrhu na OS Michal Káčer a Martina Káčerová</t>
  </si>
  <si>
    <t>2022044</t>
  </si>
  <si>
    <t>podanie návrhu na OS Bohumil Hlucháň</t>
  </si>
  <si>
    <t>2022045</t>
  </si>
  <si>
    <t>podanie návrhu na OS Roman Ukrop</t>
  </si>
  <si>
    <t>2022046</t>
  </si>
  <si>
    <t>2022047</t>
  </si>
  <si>
    <t>podanie návrhu na OS Jozef Frátrik (Martina Frátriková)</t>
  </si>
  <si>
    <t>2022048</t>
  </si>
  <si>
    <t>podanie návrhu na OS Patrícia Gonosová</t>
  </si>
  <si>
    <t>2022049</t>
  </si>
  <si>
    <t>podanie návrhu na OS Jozef Baliar a Katarína Baliarová</t>
  </si>
  <si>
    <t>4539776074</t>
  </si>
  <si>
    <t>102022</t>
  </si>
  <si>
    <t>OBJ220171</t>
  </si>
  <si>
    <t>22009</t>
  </si>
  <si>
    <t>Bauputz, s.r.o.</t>
  </si>
  <si>
    <t>Bytčická 16, 010 01 Žilina</t>
  </si>
  <si>
    <t>36427331</t>
  </si>
  <si>
    <t>OBJ220176</t>
  </si>
  <si>
    <t>OaU: oprava DDZ Kempelenova 33</t>
  </si>
  <si>
    <t>19932212</t>
  </si>
  <si>
    <t>1620</t>
  </si>
  <si>
    <t>JUDr. Jaromír Pavlík, súdny exekútor</t>
  </si>
  <si>
    <t>Nám. A. Hlinku 54, 031 01 Ružomberok</t>
  </si>
  <si>
    <t>42072212</t>
  </si>
  <si>
    <t>náhrada výdavkov - zastavenie exekúcie Schipalová</t>
  </si>
  <si>
    <t>3522022</t>
  </si>
  <si>
    <t>havarijná služba - el. rozvody 11/2022</t>
  </si>
  <si>
    <t>4727938260</t>
  </si>
  <si>
    <t>súdny poplatok Peter Fujdiak + manž.</t>
  </si>
  <si>
    <t>2022112</t>
  </si>
  <si>
    <t>HESPO PLUS s.r.o.</t>
  </si>
  <si>
    <t>Borová 3175/1, 010 07 Žilina</t>
  </si>
  <si>
    <t>46881361</t>
  </si>
  <si>
    <t>OBJ22182</t>
  </si>
  <si>
    <t>odstránenie hav.stavu plynového kotla Petzvalova 1</t>
  </si>
  <si>
    <t>202211001</t>
  </si>
  <si>
    <t>Bartek, s.r.o.</t>
  </si>
  <si>
    <t>Rajecká Lesná 411, 013 15 Rajecká Lesná</t>
  </si>
  <si>
    <t>47342684</t>
  </si>
  <si>
    <t>OBJ220136</t>
  </si>
  <si>
    <t>prevoz a prekládka unimobuniek</t>
  </si>
  <si>
    <t>DFH220018</t>
  </si>
  <si>
    <t>492022</t>
  </si>
  <si>
    <t>prevádzka plynovej kotolne 11/2022</t>
  </si>
  <si>
    <t>27122022</t>
  </si>
  <si>
    <t>OBJ220151</t>
  </si>
  <si>
    <t>demontáž a montáž obkladu Kempelenova 31</t>
  </si>
  <si>
    <t>28122022</t>
  </si>
  <si>
    <t>OBJ220152</t>
  </si>
  <si>
    <t>demontáž a montáž obkladu Kempelenova 25</t>
  </si>
  <si>
    <t>29122022</t>
  </si>
  <si>
    <t>OBJ220153</t>
  </si>
  <si>
    <t>demontáž a montáž obkladu Kempelenova 45</t>
  </si>
  <si>
    <t>14202732</t>
  </si>
  <si>
    <t>14202709</t>
  </si>
  <si>
    <t>údržba výťahu + kniha kontrol Predmestská 1610</t>
  </si>
  <si>
    <t>20221043</t>
  </si>
  <si>
    <t>monitoring prev.stavov plynovej kotolne Horný Val 11/2022</t>
  </si>
  <si>
    <t>3512022</t>
  </si>
  <si>
    <t>havarijná služba - voda 11/2022</t>
  </si>
  <si>
    <t>1122041</t>
  </si>
  <si>
    <t>OBJ220139</t>
  </si>
  <si>
    <t>spracovanie podkladov k trhovej hodnote garáž č. 199</t>
  </si>
  <si>
    <t>DF2200717</t>
  </si>
  <si>
    <t>DF2200718</t>
  </si>
  <si>
    <t>DF2200719</t>
  </si>
  <si>
    <t>DF2200720</t>
  </si>
  <si>
    <t>DF2200721</t>
  </si>
  <si>
    <t>DF2200722</t>
  </si>
  <si>
    <t>DF2200723</t>
  </si>
  <si>
    <t>DF2200724</t>
  </si>
  <si>
    <t>DF2200725</t>
  </si>
  <si>
    <t>DF2200726</t>
  </si>
  <si>
    <t>DF2200727</t>
  </si>
  <si>
    <t>DF2200728</t>
  </si>
  <si>
    <t>DF2200729</t>
  </si>
  <si>
    <t>DF2200730</t>
  </si>
  <si>
    <t>DF2200731</t>
  </si>
  <si>
    <t>DF2200732</t>
  </si>
  <si>
    <t>DF2200733</t>
  </si>
  <si>
    <t>DF2200734</t>
  </si>
  <si>
    <t>DF2200735</t>
  </si>
  <si>
    <t>DF2200736</t>
  </si>
  <si>
    <t>DF2200737</t>
  </si>
  <si>
    <t>DF2200738</t>
  </si>
  <si>
    <t>DF2200739</t>
  </si>
  <si>
    <t>DF2200740</t>
  </si>
  <si>
    <t>DF2200741</t>
  </si>
  <si>
    <t>DF2200742</t>
  </si>
  <si>
    <t>DF2200743</t>
  </si>
  <si>
    <t>DF2200744</t>
  </si>
  <si>
    <t>DF2200745</t>
  </si>
  <si>
    <t>DF2200746</t>
  </si>
  <si>
    <t>DF2200747</t>
  </si>
  <si>
    <t>DF2200748</t>
  </si>
  <si>
    <t>DF2200749</t>
  </si>
  <si>
    <t>DF2200750</t>
  </si>
  <si>
    <t>DF2200751</t>
  </si>
  <si>
    <t>DF2200752</t>
  </si>
  <si>
    <t>DF2200753</t>
  </si>
  <si>
    <t>DF2200754</t>
  </si>
  <si>
    <t>DF2200755</t>
  </si>
  <si>
    <t>DF2200756</t>
  </si>
  <si>
    <t>DF2200757</t>
  </si>
  <si>
    <t>DF2200758</t>
  </si>
  <si>
    <t>DF2200759</t>
  </si>
  <si>
    <t>DF2200760</t>
  </si>
  <si>
    <t>DF2200761</t>
  </si>
  <si>
    <t>DF2200762</t>
  </si>
  <si>
    <t>DF2200763</t>
  </si>
  <si>
    <t>DF2200764</t>
  </si>
  <si>
    <t>DF2200765</t>
  </si>
  <si>
    <t>DF2200766</t>
  </si>
  <si>
    <t>161222</t>
  </si>
  <si>
    <t>Keramok PLUS, s.r.o.</t>
  </si>
  <si>
    <t>Na Malý Diel 8802/19A, 010 01 Žilina</t>
  </si>
  <si>
    <t>52719294</t>
  </si>
  <si>
    <t>OBJ220191</t>
  </si>
  <si>
    <t>kontrola a čistenie komínov Bratislavská 36,40,42,48,50</t>
  </si>
  <si>
    <t>2201016</t>
  </si>
  <si>
    <t>2201015</t>
  </si>
  <si>
    <t>2201014</t>
  </si>
  <si>
    <t>upratovanie Košická 8392/2A 11/2022</t>
  </si>
  <si>
    <t>1222044</t>
  </si>
  <si>
    <t>OBJ220187</t>
  </si>
  <si>
    <t>spracovanie podkladov k trhovej hodnote byt č. 5 Polomská 1781/4</t>
  </si>
  <si>
    <t>2022058</t>
  </si>
  <si>
    <t>2022061</t>
  </si>
  <si>
    <t>2022066</t>
  </si>
  <si>
    <t>OBJ220190</t>
  </si>
  <si>
    <t>podanie návrhu na OS Filip Štrkáč</t>
  </si>
  <si>
    <t>2022059</t>
  </si>
  <si>
    <t>podanie návrhu na OS Michal Baláž a Ivan Baláž</t>
  </si>
  <si>
    <t>2022068</t>
  </si>
  <si>
    <t>2022067</t>
  </si>
  <si>
    <t>2022064</t>
  </si>
  <si>
    <t>2022063</t>
  </si>
  <si>
    <t>2022062</t>
  </si>
  <si>
    <t>2022060</t>
  </si>
  <si>
    <t>podanie návrhu na OS Vladimír Baláž</t>
  </si>
  <si>
    <t>podanie návrhu na OS Malvína Balážová a Koloman Baláž</t>
  </si>
  <si>
    <t>podanie návrhu na OS Mária Stojková</t>
  </si>
  <si>
    <t>podanie návrhu na OS Irena Rácová</t>
  </si>
  <si>
    <t>podanie návrhu na OS Miroslava Schipalová</t>
  </si>
  <si>
    <t>podanie návrhu na OS Zuzana Stajníková</t>
  </si>
  <si>
    <t>2022069</t>
  </si>
  <si>
    <t>podanie návrhu na OS Alena Štrkáčová a Branislav Štrkáč</t>
  </si>
  <si>
    <t>9012022</t>
  </si>
  <si>
    <t>JUDr. Pavol Malík - súdny exekútor</t>
  </si>
  <si>
    <t>1.mája č. 22, 010 01 Žilina</t>
  </si>
  <si>
    <t>212220027</t>
  </si>
  <si>
    <t>ALNIKO s.r.o.</t>
  </si>
  <si>
    <t>Radlinského 17, 052 01 Spišská Nová Ves</t>
  </si>
  <si>
    <t>36582930</t>
  </si>
  <si>
    <t>OBJ220124</t>
  </si>
  <si>
    <t>dodanie a montáž okien a parapiet J. Sklenára 8</t>
  </si>
  <si>
    <t>preddavok na trovy exe. vypratanie Stajníková Zuzana</t>
  </si>
  <si>
    <t>2433499049</t>
  </si>
  <si>
    <t>súdny poplatok Stojková</t>
  </si>
  <si>
    <t>0719135048</t>
  </si>
  <si>
    <t>súdny poplatok Stajníková</t>
  </si>
  <si>
    <t>3563526296</t>
  </si>
  <si>
    <t>súdny poplatok Zvolenský, Porvažníková</t>
  </si>
  <si>
    <t>5621647055</t>
  </si>
  <si>
    <t>4663285569</t>
  </si>
  <si>
    <t>22568</t>
  </si>
  <si>
    <t>OBJ220186</t>
  </si>
  <si>
    <t>plomba plastová k E-ITN 50 ks, odplombovací kľúč</t>
  </si>
  <si>
    <t>22120644</t>
  </si>
  <si>
    <t>popl. za správu bytov 12/2022</t>
  </si>
  <si>
    <t>091222</t>
  </si>
  <si>
    <t>OBJ220161</t>
  </si>
  <si>
    <t>kontrola a čistenie komínov Bratislavská 36,40,42,46,48,50</t>
  </si>
  <si>
    <t>20220307</t>
  </si>
  <si>
    <t>poplatok za výkon správy 1-12/2022</t>
  </si>
  <si>
    <t>Bratislavská č. 612/18, 010 01 Žilina</t>
  </si>
  <si>
    <t>14202744</t>
  </si>
  <si>
    <t>14202742</t>
  </si>
  <si>
    <t>kniha kontrol výťahu Karpatská 10</t>
  </si>
  <si>
    <t>22100035</t>
  </si>
  <si>
    <t>pravidelná technická prehliadka 4Q22</t>
  </si>
  <si>
    <t>20220084</t>
  </si>
  <si>
    <t>paušálna odmena 11/2022</t>
  </si>
  <si>
    <t>poistenie majetku 1Q/2023</t>
  </si>
  <si>
    <t>112022</t>
  </si>
  <si>
    <t>OBJ220184</t>
  </si>
  <si>
    <t>3743861357</t>
  </si>
  <si>
    <t>14202757</t>
  </si>
  <si>
    <t>OBJ220173</t>
  </si>
  <si>
    <t>oprava výťahu Korzo 13, Kempelenova 37</t>
  </si>
  <si>
    <t>20220128</t>
  </si>
  <si>
    <t>OBJ220188</t>
  </si>
  <si>
    <t>dovoz a výmena komb.sporákov J.Hronca 17,25,Petzvalova 5</t>
  </si>
  <si>
    <t>3221085238</t>
  </si>
  <si>
    <t>vodné, stočné bunky Bratislavská</t>
  </si>
  <si>
    <t>220543</t>
  </si>
  <si>
    <t>220544</t>
  </si>
  <si>
    <t>220545</t>
  </si>
  <si>
    <t>199311220</t>
  </si>
  <si>
    <t>vyúčt.dodávky tepelnej energie 11/2022</t>
  </si>
  <si>
    <t>220539</t>
  </si>
  <si>
    <t>predd.vodné, stočné 12/2022 v BD</t>
  </si>
  <si>
    <t>220541</t>
  </si>
  <si>
    <t>220540</t>
  </si>
  <si>
    <t>30122022</t>
  </si>
  <si>
    <t>OBJ220150</t>
  </si>
  <si>
    <t>demontáž a montáž obkladu Korzo 10</t>
  </si>
  <si>
    <t>220537</t>
  </si>
  <si>
    <t>refakt.teplo BD Predmestská 11/2022</t>
  </si>
  <si>
    <t>220535</t>
  </si>
  <si>
    <t>220534</t>
  </si>
  <si>
    <t>220542</t>
  </si>
  <si>
    <t>DF2200767</t>
  </si>
  <si>
    <t>DF2200768</t>
  </si>
  <si>
    <t>DF2200769</t>
  </si>
  <si>
    <t>DF2200770</t>
  </si>
  <si>
    <t>DF2200771</t>
  </si>
  <si>
    <t>DF2200772</t>
  </si>
  <si>
    <t>DF2200773</t>
  </si>
  <si>
    <t>DF2200774</t>
  </si>
  <si>
    <t>DF2200775</t>
  </si>
  <si>
    <t>DF2200776</t>
  </si>
  <si>
    <t>DF2200777</t>
  </si>
  <si>
    <t>DF2200778</t>
  </si>
  <si>
    <t>DF2200779</t>
  </si>
  <si>
    <t>DF2200780</t>
  </si>
  <si>
    <t>DF2200781</t>
  </si>
  <si>
    <t>DF2200782</t>
  </si>
  <si>
    <t>náhrada výdavkov -zastavenie exekúcie Baláž Radoslav + Alena</t>
  </si>
  <si>
    <t>59821</t>
  </si>
  <si>
    <t>kontrola požiarnych uzáverov Pri Rajčianke 40,60</t>
  </si>
  <si>
    <t>20220567</t>
  </si>
  <si>
    <t>OBJ220185</t>
  </si>
  <si>
    <t>oprava výťahu Kempelenova 35, 39, 49</t>
  </si>
  <si>
    <t>OBJ220163, 178, 179</t>
  </si>
  <si>
    <t>14202812</t>
  </si>
  <si>
    <t>kontrola opakovanej úradnej skúšky výťahov</t>
  </si>
  <si>
    <t>14202822</t>
  </si>
  <si>
    <t>OBJ220149</t>
  </si>
  <si>
    <t>súdny poplatok Baliarová</t>
  </si>
  <si>
    <t>5325664273</t>
  </si>
  <si>
    <t>3921264952</t>
  </si>
  <si>
    <t>1301111819</t>
  </si>
  <si>
    <t>8192583097</t>
  </si>
  <si>
    <t>refakt. energií v bytoch a NP</t>
  </si>
  <si>
    <t>220557</t>
  </si>
  <si>
    <t>220558</t>
  </si>
  <si>
    <t>220559</t>
  </si>
  <si>
    <t>220550</t>
  </si>
  <si>
    <t>energie: el.en.,plyn v BD Košická 11/22</t>
  </si>
  <si>
    <t>220552</t>
  </si>
  <si>
    <t>spracovanie poštových poukazov 11/2022</t>
  </si>
  <si>
    <t>220553</t>
  </si>
  <si>
    <t>220556</t>
  </si>
  <si>
    <t>okná Karpatská 10</t>
  </si>
  <si>
    <t>OBJ220132</t>
  </si>
  <si>
    <t>10220407</t>
  </si>
  <si>
    <t>DF2200783</t>
  </si>
  <si>
    <t>DF2200784</t>
  </si>
  <si>
    <t>2022057</t>
  </si>
  <si>
    <t>Miloš Kozmon STAVEX</t>
  </si>
  <si>
    <t>A.Rudnaya 71, 010 01 Žilina</t>
  </si>
  <si>
    <t>34932828</t>
  </si>
  <si>
    <t>zmluva o dielo Z442/2022</t>
  </si>
  <si>
    <t>rekonštrukcia strechy J.Hronca 3</t>
  </si>
  <si>
    <t>9447464208</t>
  </si>
  <si>
    <t>DFH220019</t>
  </si>
  <si>
    <t>DFH220020</t>
  </si>
  <si>
    <t>220572</t>
  </si>
  <si>
    <t>výkon správy ZŠ Hollého 66 za 12/2022</t>
  </si>
  <si>
    <t>532022</t>
  </si>
  <si>
    <t>prevádzka plynovej kotolne 12/2022</t>
  </si>
  <si>
    <t>DF2200785</t>
  </si>
  <si>
    <t>DF2200786</t>
  </si>
  <si>
    <t>DF2200787</t>
  </si>
  <si>
    <t>DF2200788</t>
  </si>
  <si>
    <t>DF2200789</t>
  </si>
  <si>
    <t>DF2200790</t>
  </si>
  <si>
    <t>DF2200791</t>
  </si>
  <si>
    <t>DF2200792</t>
  </si>
  <si>
    <t>DF2200793</t>
  </si>
  <si>
    <t>DF2200794</t>
  </si>
  <si>
    <t>DF2200795</t>
  </si>
  <si>
    <t>DF2200796</t>
  </si>
  <si>
    <t>DF2200797</t>
  </si>
  <si>
    <t>DF2200798</t>
  </si>
  <si>
    <t>DF2200799</t>
  </si>
  <si>
    <t>DF2200800</t>
  </si>
  <si>
    <t>DF2200801</t>
  </si>
  <si>
    <t>DF2200802</t>
  </si>
  <si>
    <t>DF2200803</t>
  </si>
  <si>
    <t>DF2200804</t>
  </si>
  <si>
    <t>DF2200805</t>
  </si>
  <si>
    <t>DF2200806</t>
  </si>
  <si>
    <t>DF2200807</t>
  </si>
  <si>
    <t>220560</t>
  </si>
  <si>
    <t>pripojovací poplatok Hollého 66</t>
  </si>
  <si>
    <t>0328991625</t>
  </si>
  <si>
    <t>súdny poplatok Hudec</t>
  </si>
  <si>
    <t>2022055</t>
  </si>
  <si>
    <t>2022056</t>
  </si>
  <si>
    <t>BVG, s.r.o.</t>
  </si>
  <si>
    <t>OaU: zateplenie stropu pivnice Petzvalova 5</t>
  </si>
  <si>
    <t>OaU: oprava obkladu WC Petzvalova 5</t>
  </si>
  <si>
    <t>3852022</t>
  </si>
  <si>
    <t>OaU: oprava vedenia elektriny Petzvalova 1</t>
  </si>
  <si>
    <t>220588</t>
  </si>
  <si>
    <t>poplatky za vystavenie upomienok 12/22</t>
  </si>
  <si>
    <t>220587</t>
  </si>
  <si>
    <t>preddavky na el.energiu 12/22 v BD a NP</t>
  </si>
  <si>
    <t>220565</t>
  </si>
  <si>
    <t>správa bytov, nebytových priestorov a vedenie účtov kúpnych zmlúv 12/2022</t>
  </si>
  <si>
    <t>3972022</t>
  </si>
  <si>
    <t>3962022</t>
  </si>
  <si>
    <t>havarijná služba - el. rozvody 12/2022</t>
  </si>
  <si>
    <t>havarijná služba - voda 12/2022</t>
  </si>
  <si>
    <t>15233237</t>
  </si>
  <si>
    <t>servis výťahov 12/2022</t>
  </si>
  <si>
    <t>14202853</t>
  </si>
  <si>
    <t>40221367</t>
  </si>
  <si>
    <t>OBJ220181</t>
  </si>
  <si>
    <t>servisné práce vyhradeného tech. zariadenia Horný Val 24</t>
  </si>
  <si>
    <t>40221366</t>
  </si>
  <si>
    <t>OBJ220180</t>
  </si>
  <si>
    <t>1022266</t>
  </si>
  <si>
    <t>dodávka a výmena okien Severná 59</t>
  </si>
  <si>
    <t>OBJ220172</t>
  </si>
  <si>
    <t>OaU: oprava obkladu Kempelenova 45</t>
  </si>
  <si>
    <t>OBJ220166</t>
  </si>
  <si>
    <t>20221148</t>
  </si>
  <si>
    <t>monitoring prev.stavov plynovej kotolne Horný Val 12/2022</t>
  </si>
  <si>
    <t>220592</t>
  </si>
  <si>
    <t>220589</t>
  </si>
  <si>
    <t>220594</t>
  </si>
  <si>
    <t>refakt. vodné, stočné 2022</t>
  </si>
  <si>
    <t>OaU: oprava obkladu Kempelenova 39</t>
  </si>
  <si>
    <t>OBJ220167</t>
  </si>
  <si>
    <t>20230003</t>
  </si>
  <si>
    <t>paušálna odmena 12/2022</t>
  </si>
  <si>
    <t>220608</t>
  </si>
  <si>
    <t>refakt. spotreby el.energia garáže Moyzesova</t>
  </si>
  <si>
    <t>OBJ220193</t>
  </si>
  <si>
    <t>OBJ220165</t>
  </si>
  <si>
    <t>OBJ220168</t>
  </si>
  <si>
    <t>DF2200808</t>
  </si>
  <si>
    <t>DF2200809</t>
  </si>
  <si>
    <t>DF2200810</t>
  </si>
  <si>
    <t>DF2200811</t>
  </si>
  <si>
    <t>DF2200812</t>
  </si>
  <si>
    <t>DF2200813</t>
  </si>
  <si>
    <t>DF2200814</t>
  </si>
  <si>
    <t>DF2200815</t>
  </si>
  <si>
    <t>DF2200816</t>
  </si>
  <si>
    <t>DF2200817</t>
  </si>
  <si>
    <t>220609</t>
  </si>
  <si>
    <t>220611</t>
  </si>
  <si>
    <t>spracovanie poštových poukazov 12/2022</t>
  </si>
  <si>
    <t>upratovanie v priestoroch BD 12/2022</t>
  </si>
  <si>
    <t>refakt.teplo BD Predmestská 12/2022</t>
  </si>
  <si>
    <t>220616</t>
  </si>
  <si>
    <t>220615</t>
  </si>
  <si>
    <t>220612</t>
  </si>
  <si>
    <t>vodné, stočné  D.Dlabača 1.7.2022-31.12.2022</t>
  </si>
  <si>
    <t>220621</t>
  </si>
  <si>
    <t>refakt. energií v bytoch a NP - elektrina r. 2022</t>
  </si>
  <si>
    <t>220619</t>
  </si>
  <si>
    <t>220614</t>
  </si>
  <si>
    <t>220617</t>
  </si>
  <si>
    <t>OaU: elektroinštalačné a vodárenské práce, maľovanie</t>
  </si>
  <si>
    <t>220618</t>
  </si>
  <si>
    <t>Hurbanova 2806, 024 01 Kysucké Nové Mesto</t>
  </si>
  <si>
    <t>36415499</t>
  </si>
  <si>
    <t>DF2200818</t>
  </si>
  <si>
    <t>vyúčt.dodávky tepelnej energie 12/2022</t>
  </si>
  <si>
    <t>199312220</t>
  </si>
  <si>
    <t>DF2200819</t>
  </si>
  <si>
    <t>DF2200820</t>
  </si>
  <si>
    <t>DF2200821</t>
  </si>
  <si>
    <t>DF2200822</t>
  </si>
  <si>
    <t>220630</t>
  </si>
  <si>
    <t>vodné, stočné 4Q2022</t>
  </si>
  <si>
    <t>220625</t>
  </si>
  <si>
    <t>220626</t>
  </si>
  <si>
    <t>220628</t>
  </si>
  <si>
    <t>refakt. plyn 2022</t>
  </si>
  <si>
    <t>DF2200823</t>
  </si>
  <si>
    <t>DF2200824</t>
  </si>
  <si>
    <t>DF2200825</t>
  </si>
  <si>
    <t>DF2200826</t>
  </si>
  <si>
    <t>DF2200827</t>
  </si>
  <si>
    <t>DF2200828</t>
  </si>
  <si>
    <t>DF2200829</t>
  </si>
  <si>
    <t>1820221037</t>
  </si>
  <si>
    <t>OBJ220169</t>
  </si>
  <si>
    <t>vyhľadávanie únikov vody Kempelenova 29,31,33</t>
  </si>
  <si>
    <t>2201019</t>
  </si>
  <si>
    <t>upratovanie Košická 8392/2A 12/2022</t>
  </si>
  <si>
    <t>220631</t>
  </si>
  <si>
    <t>energie: el.en., plyn v BD Košická 12/22</t>
  </si>
  <si>
    <t>220638</t>
  </si>
  <si>
    <t>2022112430</t>
  </si>
  <si>
    <t>OBJ220183</t>
  </si>
  <si>
    <t>pristavenie a odvoz VKK Košická 2A</t>
  </si>
  <si>
    <t>2022112431</t>
  </si>
  <si>
    <t>poplatok za uloženie odpadu Košická 2A</t>
  </si>
  <si>
    <t>20220144</t>
  </si>
  <si>
    <t>OBJ220189</t>
  </si>
  <si>
    <t>OaU: revízia plynu v bytoch Petzvalova 17,19,21</t>
  </si>
  <si>
    <t>DF2200830</t>
  </si>
  <si>
    <t>4539776075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</si>
</sst>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0;[Red]#,##0.00"/>
    <numFmt numFmtId="165" formatCode="#,##0.00_ ;\-#,##0.00\ "/>
  </numFmts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43" fontId="0" fillId="0" borderId="0" xfId="1" applyFont="1"/>
    <xf numFmtId="43" fontId="0" fillId="0" borderId="1" xfId="1" applyFont="1" applyBorder="1"/>
    <xf numFmtId="49" fontId="2" fillId="0" borderId="1" xfId="0" applyNumberFormat="1" applyFont="1" applyBorder="1"/>
    <xf numFmtId="49" fontId="0" fillId="2" borderId="1" xfId="0" applyNumberFormat="1" applyFill="1" applyBorder="1"/>
    <xf numFmtId="43" fontId="1" fillId="0" borderId="1" xfId="1" applyFont="1" applyBorder="1"/>
    <xf numFmtId="43" fontId="0" fillId="3" borderId="1" xfId="1" applyFont="1" applyFill="1" applyBorder="1"/>
    <xf numFmtId="49" fontId="2" fillId="0" borderId="1" xfId="0" applyNumberFormat="1" applyFont="1" applyBorder="1" applyAlignment="1">
      <alignment horizontal="center"/>
    </xf>
    <xf numFmtId="43" fontId="0" fillId="0" borderId="1" xfId="1" applyFont="1" applyFill="1" applyBorder="1"/>
    <xf numFmtId="43" fontId="2" fillId="0" borderId="1" xfId="1" applyFont="1" applyFill="1" applyBorder="1"/>
    <xf numFmtId="49" fontId="0" fillId="0" borderId="2" xfId="0" applyNumberFormat="1" applyBorder="1"/>
    <xf numFmtId="14" fontId="0" fillId="0" borderId="2" xfId="0" applyNumberFormat="1" applyBorder="1"/>
    <xf numFmtId="43" fontId="0" fillId="0" borderId="2" xfId="1" applyFont="1" applyBorder="1"/>
    <xf numFmtId="0" fontId="0" fillId="0" borderId="2" xfId="0" applyBorder="1"/>
    <xf numFmtId="4" fontId="0" fillId="0" borderId="0" xfId="0" applyNumberFormat="1"/>
    <xf numFmtId="4" fontId="0" fillId="4" borderId="0" xfId="0" applyNumberFormat="1" applyFill="1"/>
    <xf numFmtId="4" fontId="1" fillId="0" borderId="0" xfId="0" applyNumberFormat="1" applyFont="1"/>
    <xf numFmtId="43" fontId="2" fillId="0" borderId="1" xfId="1" applyFont="1" applyBorder="1"/>
    <xf numFmtId="49" fontId="0" fillId="0" borderId="1" xfId="0" applyNumberFormat="1" applyBorder="1" applyAlignment="1">
      <alignment horizontal="left"/>
    </xf>
    <xf numFmtId="4" fontId="0" fillId="0" borderId="1" xfId="1" applyNumberFormat="1" applyFont="1" applyBorder="1" applyAlignment="1">
      <alignment horizontal="right"/>
    </xf>
    <xf numFmtId="4" fontId="2" fillId="0" borderId="1" xfId="1" applyNumberFormat="1" applyFont="1" applyBorder="1"/>
    <xf numFmtId="164" fontId="0" fillId="0" borderId="1" xfId="0" applyNumberFormat="1" applyBorder="1" applyAlignment="1">
      <alignment horizontal="right"/>
    </xf>
    <xf numFmtId="0" fontId="3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left"/>
    </xf>
    <xf numFmtId="4" fontId="0" fillId="0" borderId="1" xfId="0" applyNumberFormat="1" applyBorder="1"/>
    <xf numFmtId="4" fontId="1" fillId="0" borderId="1" xfId="1" applyNumberFormat="1" applyFont="1" applyBorder="1"/>
    <xf numFmtId="4" fontId="1" fillId="0" borderId="1" xfId="1" applyNumberFormat="1" applyFont="1" applyFill="1" applyBorder="1"/>
    <xf numFmtId="165" fontId="1" fillId="0" borderId="1" xfId="1" applyNumberFormat="1" applyFont="1" applyBorder="1"/>
    <xf numFmtId="0" fontId="5" fillId="0" borderId="3" xfId="0" applyFont="1" applyBorder="1"/>
    <xf numFmtId="0" fontId="5" fillId="0" borderId="1" xfId="0" applyFont="1" applyBorder="1"/>
    <xf numFmtId="43" fontId="0" fillId="0" borderId="1" xfId="1" applyNumberFormat="1" applyFont="1" applyBorder="1"/>
  </cellXfs>
  <cellStyles count="2">
    <cellStyle name="Čiarka" xfId="1" builtinId="3"/>
    <cellStyle name="Normálna" xfId="0" builtinId="0"/>
  </cellStyles>
  <dxfs count="1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niha_faktur_2021">
        <xsd:complexType>
          <xsd:sequence minOccurs="0">
            <xsd:element minOccurs="0" maxOccurs="unbounded" nillable="true" name="Kniha_faktur_2021_row" form="unqualified">
              <xsd:complexType>
                <xsd:sequence minOccurs="0">
                  <xsd:element minOccurs="0" nillable="true" type="xsd:integer" name="ucet" form="unqualified"/>
                  <xsd:element minOccurs="0" maxOccurs="unbounded" nillable="true" name="Kniha_faktur_2021_group1" form="unqualified">
                    <xsd:complexType>
                      <xsd:sequence minOccurs="0">
                        <xsd:element minOccurs="0" nillable="true" type="xsd:string" name="dokl_druh" form="unqualified"/>
                        <xsd:element minOccurs="0" nillable="true" type="xsd:string" name="dokl_doklad" form="unqualified"/>
                        <xsd:element minOccurs="0" nillable="true" type="xsd:date" name="datum" form="unqualified"/>
                        <xsd:element minOccurs="0" nillable="true" type="xsd:string" name="osnova_popis" form="unqualified"/>
                        <xsd:element minOccurs="0" nillable="true" type="xsd:double" name="suma" form="unqualified"/>
                        <xsd:element minOccurs="0" nillable="true" type="xsd:double" name="zostatok" form="unqualified"/>
                        <xsd:element minOccurs="0" nillable="true" type="xsd:integer" name="dodav_cislo" form="unqualified"/>
                        <xsd:element minOccurs="0" nillable="true" type="xsd:string" name="dodav_nazov" form="unqualified"/>
                        <xsd:element minOccurs="0" nillable="true" type="xsd:string" name="ucriad_varsymb" form="unqualified"/>
                        <xsd:element minOccurs="0" nillable="true" type="xsd:string" name="pozn" form="unqualified"/>
                        <xsd:element minOccurs="0" nillable="true" type="xsd:string" name="spopistlac" form="unqualified"/>
                        <xsd:element minOccurs="0" nillable="true" type="xsd:string" name="nazovsub" form="unqualified"/>
                        <xsd:element minOccurs="0" nillable="true" type="xsd:string" name="ulica" form="unqualified"/>
                        <xsd:element minOccurs="0" nillable="true" type="xsd:string" name="mesto" form="unqualified"/>
                        <xsd:element minOccurs="0" nillable="true" type="xsd:integer" name="psc" form="unqualified"/>
                        <xsd:element minOccurs="0" nillable="true" type="xsd:string" name="subjinfo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Kniha_faktur_2021_Map" RootElement="Kniha_faktur_2021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xmlMaps" Target="xmlMaps.xml"/></Relationships>
</file>

<file path=xl/tables/table1.xml><?xml version="1.0" encoding="utf-8"?>
<table xmlns="http://schemas.openxmlformats.org/spreadsheetml/2006/main" id="1" name="Tabuľka1383132" displayName="Tabuľka1383132" ref="A1:J1113" totalsRowShown="0">
  <autoFilter ref="A1:J1113"/>
  <sortState ref="A2:K467">
    <sortCondition ref="A1:A467"/>
  </sortState>
  <tableColumns count="10">
    <tableColumn id="3" name="Číslo dokladu" dataDxfId="18"/>
    <tableColumn id="18" name="VS" dataDxfId="17"/>
    <tableColumn id="4" name="Dátum" dataDxfId="16"/>
    <tableColumn id="1" name="Suma bez DPH" dataDxfId="15" dataCellStyle="Čiarka"/>
    <tableColumn id="2" name="Suma s DPH" dataDxfId="14">
      <calculatedColumnFormula>-(#REF!)</calculatedColumnFormula>
    </tableColumn>
    <tableColumn id="9" name="Dodávateľ" dataDxfId="13"/>
    <tableColumn id="20" name="IČO" dataDxfId="12"/>
    <tableColumn id="19" name="Obj/zmluva" dataDxfId="11"/>
    <tableColumn id="11" name="Poznámka" dataDxfId="10"/>
    <tableColumn id="5" name="Stĺpec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2" name="Tabuľka138313" displayName="Tabuľka138313" ref="A1:K860" totalsRowShown="0">
  <autoFilter ref="A1:K860"/>
  <sortState ref="A2:K467">
    <sortCondition ref="A1:A467"/>
  </sortState>
  <tableColumns count="11">
    <tableColumn id="3" name="Číslo dokladu" dataDxfId="9"/>
    <tableColumn id="18" name="VS" dataDxfId="8"/>
    <tableColumn id="4" name="Dátum zaevidovania" dataDxfId="7"/>
    <tableColumn id="1" name="Suma bez DPH" dataDxfId="6" dataCellStyle="Čiarka"/>
    <tableColumn id="2" name="Suma s DPH" dataDxfId="5">
      <calculatedColumnFormula>-(#REF!)</calculatedColumnFormula>
    </tableColumn>
    <tableColumn id="9" name="Dodávateľ" dataDxfId="4"/>
    <tableColumn id="6" name="Adresa " dataDxfId="3"/>
    <tableColumn id="20" name="IČO" dataDxfId="2"/>
    <tableColumn id="19" name="Obj/zmluva" dataDxfId="1"/>
    <tableColumn id="11" name="Poznámka" dataDxfId="0"/>
    <tableColumn id="5" name="Stĺ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3"/>
  <sheetViews>
    <sheetView topLeftCell="A867" workbookViewId="0">
      <selection activeCell="F756" sqref="F756:I756"/>
    </sheetView>
  </sheetViews>
  <sheetFormatPr defaultRowHeight="15" x14ac:dyDescent="0.25"/>
  <cols>
    <col min="1" max="1" width="14.140625" bestFit="1" customWidth="1"/>
    <col min="2" max="2" width="14.140625" customWidth="1"/>
    <col min="3" max="3" width="10.140625" bestFit="1" customWidth="1"/>
    <col min="4" max="4" width="16.140625" style="5" customWidth="1"/>
    <col min="5" max="5" width="15.5703125" style="5" customWidth="1"/>
    <col min="6" max="6" width="50.140625" customWidth="1"/>
    <col min="7" max="7" width="15.85546875" customWidth="1"/>
    <col min="8" max="8" width="28.28515625" customWidth="1"/>
    <col min="9" max="9" width="101.28515625" customWidth="1"/>
  </cols>
  <sheetData>
    <row r="1" spans="1:10" x14ac:dyDescent="0.25">
      <c r="A1" t="s">
        <v>1986</v>
      </c>
      <c r="B1" t="s">
        <v>1086</v>
      </c>
      <c r="C1" t="s">
        <v>1987</v>
      </c>
      <c r="D1" s="5" t="s">
        <v>1233</v>
      </c>
      <c r="E1" t="s">
        <v>1179</v>
      </c>
      <c r="F1" t="s">
        <v>1087</v>
      </c>
      <c r="G1" t="s">
        <v>1088</v>
      </c>
      <c r="H1" t="s">
        <v>1089</v>
      </c>
      <c r="I1" t="s">
        <v>1973</v>
      </c>
      <c r="J1" t="s">
        <v>1588</v>
      </c>
    </row>
    <row r="2" spans="1:10" x14ac:dyDescent="0.25">
      <c r="A2" s="1" t="s">
        <v>2</v>
      </c>
      <c r="B2" s="1" t="s">
        <v>518</v>
      </c>
      <c r="C2" s="2">
        <v>44217</v>
      </c>
      <c r="D2" s="6">
        <f>20</f>
        <v>20</v>
      </c>
      <c r="E2" s="6">
        <v>24</v>
      </c>
      <c r="F2" s="1" t="s">
        <v>468</v>
      </c>
      <c r="G2" s="1" t="s">
        <v>1098</v>
      </c>
      <c r="H2" s="7" t="s">
        <v>1108</v>
      </c>
      <c r="I2" s="1" t="s">
        <v>1257</v>
      </c>
    </row>
    <row r="3" spans="1:10" x14ac:dyDescent="0.25">
      <c r="A3" s="1" t="s">
        <v>1</v>
      </c>
      <c r="B3" s="1" t="s">
        <v>517</v>
      </c>
      <c r="C3" s="2">
        <v>44215</v>
      </c>
      <c r="D3" s="6">
        <f>50.76</f>
        <v>50.76</v>
      </c>
      <c r="E3" s="6">
        <v>60.9</v>
      </c>
      <c r="F3" s="1" t="s">
        <v>467</v>
      </c>
      <c r="G3" s="1" t="s">
        <v>1099</v>
      </c>
      <c r="H3" s="1" t="s">
        <v>1117</v>
      </c>
      <c r="I3" s="1" t="s">
        <v>1294</v>
      </c>
    </row>
    <row r="4" spans="1:10" x14ac:dyDescent="0.25">
      <c r="A4" s="1" t="s">
        <v>3</v>
      </c>
      <c r="B4" s="1" t="s">
        <v>519</v>
      </c>
      <c r="C4" s="2">
        <v>44218</v>
      </c>
      <c r="D4" s="6">
        <f>1180.83</f>
        <v>1180.83</v>
      </c>
      <c r="E4" s="6">
        <v>1417</v>
      </c>
      <c r="F4" s="1" t="s">
        <v>468</v>
      </c>
      <c r="G4" s="1" t="s">
        <v>1098</v>
      </c>
      <c r="H4" s="7" t="s">
        <v>1108</v>
      </c>
      <c r="I4" s="1" t="s">
        <v>1301</v>
      </c>
    </row>
    <row r="5" spans="1:10" x14ac:dyDescent="0.25">
      <c r="A5" s="1" t="s">
        <v>4</v>
      </c>
      <c r="B5" s="1" t="s">
        <v>520</v>
      </c>
      <c r="C5" s="2">
        <v>44221</v>
      </c>
      <c r="D5" s="6">
        <f>Tabuľka1383132[[#This Row],[Suma s DPH]]</f>
        <v>16.5</v>
      </c>
      <c r="E5" s="6">
        <v>16.5</v>
      </c>
      <c r="F5" s="1" t="s">
        <v>469</v>
      </c>
      <c r="G5" s="4" t="s">
        <v>1100</v>
      </c>
      <c r="H5" s="4" t="s">
        <v>1100</v>
      </c>
      <c r="I5" s="1" t="s">
        <v>1940</v>
      </c>
    </row>
    <row r="6" spans="1:10" x14ac:dyDescent="0.25">
      <c r="A6" s="1" t="s">
        <v>5</v>
      </c>
      <c r="B6" s="1" t="s">
        <v>521</v>
      </c>
      <c r="C6" s="2">
        <v>44221</v>
      </c>
      <c r="D6" s="6">
        <f>Tabuľka1383132[[#This Row],[Suma s DPH]]</f>
        <v>49.5</v>
      </c>
      <c r="E6" s="6">
        <v>49.5</v>
      </c>
      <c r="F6" s="1" t="s">
        <v>469</v>
      </c>
      <c r="G6" s="4" t="s">
        <v>1100</v>
      </c>
      <c r="H6" s="4" t="s">
        <v>1100</v>
      </c>
      <c r="I6" s="1" t="s">
        <v>1940</v>
      </c>
    </row>
    <row r="7" spans="1:10" x14ac:dyDescent="0.25">
      <c r="A7" s="1" t="s">
        <v>6</v>
      </c>
      <c r="B7" s="1" t="s">
        <v>522</v>
      </c>
      <c r="C7" s="2">
        <v>44221</v>
      </c>
      <c r="D7" s="6">
        <f>Tabuľka1383132[[#This Row],[Suma s DPH]]</f>
        <v>104</v>
      </c>
      <c r="E7" s="6">
        <v>104</v>
      </c>
      <c r="F7" s="1" t="s">
        <v>469</v>
      </c>
      <c r="G7" s="4" t="s">
        <v>1100</v>
      </c>
      <c r="H7" s="4" t="s">
        <v>1100</v>
      </c>
      <c r="I7" s="1" t="s">
        <v>1940</v>
      </c>
    </row>
    <row r="8" spans="1:10" x14ac:dyDescent="0.25">
      <c r="A8" s="1" t="s">
        <v>7</v>
      </c>
      <c r="B8" s="1" t="s">
        <v>523</v>
      </c>
      <c r="C8" s="2">
        <v>44223</v>
      </c>
      <c r="D8" s="6">
        <f>32.29</f>
        <v>32.29</v>
      </c>
      <c r="E8" s="6">
        <v>38.75</v>
      </c>
      <c r="F8" s="1" t="s">
        <v>468</v>
      </c>
      <c r="G8" s="1" t="s">
        <v>1098</v>
      </c>
      <c r="H8" s="7" t="s">
        <v>1108</v>
      </c>
      <c r="I8" s="1" t="s">
        <v>1302</v>
      </c>
    </row>
    <row r="9" spans="1:10" x14ac:dyDescent="0.25">
      <c r="A9" s="1" t="s">
        <v>8</v>
      </c>
      <c r="B9" s="1" t="s">
        <v>524</v>
      </c>
      <c r="C9" s="2">
        <v>44224</v>
      </c>
      <c r="D9" s="12">
        <f>48.5</f>
        <v>48.5</v>
      </c>
      <c r="E9" s="12">
        <f>58.2</f>
        <v>58.2</v>
      </c>
      <c r="F9" s="1" t="s">
        <v>470</v>
      </c>
      <c r="G9" s="1" t="s">
        <v>1101</v>
      </c>
      <c r="H9" s="1" t="s">
        <v>1102</v>
      </c>
      <c r="I9" s="1" t="s">
        <v>982</v>
      </c>
    </row>
    <row r="10" spans="1:10" x14ac:dyDescent="0.25">
      <c r="A10" s="1" t="s">
        <v>9</v>
      </c>
      <c r="B10" s="1" t="s">
        <v>525</v>
      </c>
      <c r="C10" s="2">
        <v>44225</v>
      </c>
      <c r="D10" s="6">
        <f>273</f>
        <v>273</v>
      </c>
      <c r="E10" s="6">
        <v>327.60000000000002</v>
      </c>
      <c r="F10" s="1" t="s">
        <v>470</v>
      </c>
      <c r="G10" s="1" t="s">
        <v>1101</v>
      </c>
      <c r="H10" s="1" t="s">
        <v>1102</v>
      </c>
      <c r="I10" s="1" t="s">
        <v>982</v>
      </c>
    </row>
    <row r="11" spans="1:10" x14ac:dyDescent="0.25">
      <c r="A11" s="1" t="s">
        <v>10</v>
      </c>
      <c r="B11" s="1" t="s">
        <v>526</v>
      </c>
      <c r="C11" s="2">
        <v>44225</v>
      </c>
      <c r="D11" s="6">
        <f>91</f>
        <v>91</v>
      </c>
      <c r="E11" s="6">
        <v>109.2</v>
      </c>
      <c r="F11" s="1" t="s">
        <v>470</v>
      </c>
      <c r="G11" s="1" t="s">
        <v>1101</v>
      </c>
      <c r="H11" s="1" t="s">
        <v>1102</v>
      </c>
      <c r="I11" s="1" t="s">
        <v>982</v>
      </c>
    </row>
    <row r="12" spans="1:10" x14ac:dyDescent="0.25">
      <c r="A12" s="1" t="s">
        <v>12</v>
      </c>
      <c r="B12" s="1" t="s">
        <v>528</v>
      </c>
      <c r="C12" s="2">
        <v>44227</v>
      </c>
      <c r="D12" s="6">
        <f>19089</f>
        <v>19089</v>
      </c>
      <c r="E12" s="6">
        <v>22906.799999999999</v>
      </c>
      <c r="F12" s="1" t="s">
        <v>468</v>
      </c>
      <c r="G12" s="1" t="s">
        <v>1098</v>
      </c>
      <c r="H12" s="1" t="s">
        <v>1189</v>
      </c>
      <c r="I12" s="1" t="s">
        <v>1303</v>
      </c>
    </row>
    <row r="13" spans="1:10" x14ac:dyDescent="0.25">
      <c r="A13" s="1" t="s">
        <v>13</v>
      </c>
      <c r="B13" s="1" t="s">
        <v>529</v>
      </c>
      <c r="C13" s="2">
        <v>44227</v>
      </c>
      <c r="D13" s="6">
        <f>700</f>
        <v>700</v>
      </c>
      <c r="E13" s="6">
        <v>840</v>
      </c>
      <c r="F13" s="1" t="s">
        <v>468</v>
      </c>
      <c r="G13" s="1" t="s">
        <v>1098</v>
      </c>
      <c r="H13" s="1" t="s">
        <v>1189</v>
      </c>
      <c r="I13" s="1" t="s">
        <v>1308</v>
      </c>
    </row>
    <row r="14" spans="1:10" x14ac:dyDescent="0.25">
      <c r="A14" s="1" t="s">
        <v>14</v>
      </c>
      <c r="B14" s="1" t="s">
        <v>530</v>
      </c>
      <c r="C14" s="2">
        <v>44227</v>
      </c>
      <c r="D14" s="6">
        <f>160</f>
        <v>160</v>
      </c>
      <c r="E14" s="6">
        <v>192</v>
      </c>
      <c r="F14" s="1" t="s">
        <v>468</v>
      </c>
      <c r="G14" s="1" t="s">
        <v>1098</v>
      </c>
      <c r="H14" s="1" t="s">
        <v>1189</v>
      </c>
      <c r="I14" s="1" t="s">
        <v>1317</v>
      </c>
    </row>
    <row r="15" spans="1:10" x14ac:dyDescent="0.25">
      <c r="A15" s="1" t="s">
        <v>15</v>
      </c>
      <c r="B15" s="1" t="s">
        <v>531</v>
      </c>
      <c r="C15" s="2">
        <v>44227</v>
      </c>
      <c r="D15" s="6">
        <f>112</f>
        <v>112</v>
      </c>
      <c r="E15" s="6">
        <v>134.4</v>
      </c>
      <c r="F15" s="1" t="s">
        <v>468</v>
      </c>
      <c r="G15" s="1" t="s">
        <v>1098</v>
      </c>
      <c r="H15" s="1" t="s">
        <v>1189</v>
      </c>
      <c r="I15" s="1" t="s">
        <v>1313</v>
      </c>
    </row>
    <row r="16" spans="1:10" x14ac:dyDescent="0.25">
      <c r="A16" s="1" t="s">
        <v>16</v>
      </c>
      <c r="B16" s="1" t="s">
        <v>532</v>
      </c>
      <c r="C16" s="2">
        <v>44227</v>
      </c>
      <c r="D16" s="6">
        <f>24</f>
        <v>24</v>
      </c>
      <c r="E16" s="6">
        <v>28.8</v>
      </c>
      <c r="F16" s="1" t="s">
        <v>468</v>
      </c>
      <c r="G16" s="1" t="s">
        <v>1098</v>
      </c>
      <c r="H16" s="1" t="s">
        <v>1189</v>
      </c>
      <c r="I16" s="1" t="s">
        <v>1320</v>
      </c>
    </row>
    <row r="17" spans="1:9" x14ac:dyDescent="0.25">
      <c r="A17" s="1" t="s">
        <v>17</v>
      </c>
      <c r="B17" s="1" t="s">
        <v>533</v>
      </c>
      <c r="C17" s="2">
        <v>44227</v>
      </c>
      <c r="D17" s="6">
        <f>16953.33</f>
        <v>16953.330000000002</v>
      </c>
      <c r="E17" s="6">
        <v>20344</v>
      </c>
      <c r="F17" s="1" t="s">
        <v>468</v>
      </c>
      <c r="G17" s="1" t="s">
        <v>1098</v>
      </c>
      <c r="H17" s="1" t="s">
        <v>1190</v>
      </c>
      <c r="I17" s="1" t="s">
        <v>984</v>
      </c>
    </row>
    <row r="18" spans="1:9" x14ac:dyDescent="0.25">
      <c r="A18" s="1" t="s">
        <v>18</v>
      </c>
      <c r="B18" s="1" t="s">
        <v>534</v>
      </c>
      <c r="C18" s="2">
        <v>44227</v>
      </c>
      <c r="D18" s="6">
        <f>11867.5</f>
        <v>11867.5</v>
      </c>
      <c r="E18" s="6">
        <v>14241</v>
      </c>
      <c r="F18" s="1" t="s">
        <v>468</v>
      </c>
      <c r="G18" s="1" t="s">
        <v>1098</v>
      </c>
      <c r="H18" s="1" t="s">
        <v>1190</v>
      </c>
      <c r="I18" s="1" t="s">
        <v>985</v>
      </c>
    </row>
    <row r="19" spans="1:9" x14ac:dyDescent="0.25">
      <c r="A19" s="1" t="s">
        <v>19</v>
      </c>
      <c r="B19" s="1" t="s">
        <v>535</v>
      </c>
      <c r="C19" s="2">
        <v>44227</v>
      </c>
      <c r="D19" s="6">
        <f>2543.26</f>
        <v>2543.2600000000002</v>
      </c>
      <c r="E19" s="6">
        <v>3051.91</v>
      </c>
      <c r="F19" s="1" t="s">
        <v>468</v>
      </c>
      <c r="G19" s="1" t="s">
        <v>1098</v>
      </c>
      <c r="H19" s="1" t="s">
        <v>1190</v>
      </c>
      <c r="I19" s="1" t="s">
        <v>986</v>
      </c>
    </row>
    <row r="20" spans="1:9" x14ac:dyDescent="0.25">
      <c r="A20" s="1" t="s">
        <v>11</v>
      </c>
      <c r="B20" s="1" t="s">
        <v>527</v>
      </c>
      <c r="C20" s="2">
        <v>44225</v>
      </c>
      <c r="D20" s="6">
        <f>Tabuľka1383132[[#This Row],[Suma s DPH]]</f>
        <v>1346</v>
      </c>
      <c r="E20" s="6">
        <v>1346</v>
      </c>
      <c r="F20" s="1" t="s">
        <v>471</v>
      </c>
      <c r="G20" s="1" t="s">
        <v>1103</v>
      </c>
      <c r="H20" s="1" t="s">
        <v>1104</v>
      </c>
      <c r="I20" s="1" t="s">
        <v>983</v>
      </c>
    </row>
    <row r="21" spans="1:9" x14ac:dyDescent="0.25">
      <c r="A21" s="1" t="s">
        <v>20</v>
      </c>
      <c r="B21" s="1" t="s">
        <v>536</v>
      </c>
      <c r="C21" s="2">
        <v>44228</v>
      </c>
      <c r="D21" s="6">
        <f>1180.83</f>
        <v>1180.83</v>
      </c>
      <c r="E21" s="6">
        <v>1417</v>
      </c>
      <c r="F21" s="1" t="s">
        <v>468</v>
      </c>
      <c r="G21" s="1" t="s">
        <v>1098</v>
      </c>
      <c r="H21" s="7" t="s">
        <v>1108</v>
      </c>
      <c r="I21" s="1" t="s">
        <v>1325</v>
      </c>
    </row>
    <row r="22" spans="1:9" x14ac:dyDescent="0.25">
      <c r="A22" s="1" t="s">
        <v>21</v>
      </c>
      <c r="B22" s="1" t="s">
        <v>537</v>
      </c>
      <c r="C22" s="2">
        <v>44228</v>
      </c>
      <c r="D22" s="6">
        <f>1973.69</f>
        <v>1973.69</v>
      </c>
      <c r="E22" s="6">
        <v>2368.4299999999998</v>
      </c>
      <c r="F22" s="1" t="s">
        <v>470</v>
      </c>
      <c r="G22" s="1" t="s">
        <v>1101</v>
      </c>
      <c r="H22" s="1" t="s">
        <v>1102</v>
      </c>
      <c r="I22" s="1" t="s">
        <v>1326</v>
      </c>
    </row>
    <row r="23" spans="1:9" x14ac:dyDescent="0.25">
      <c r="A23" s="1" t="s">
        <v>25</v>
      </c>
      <c r="B23" s="1" t="s">
        <v>541</v>
      </c>
      <c r="C23" s="2">
        <v>44232</v>
      </c>
      <c r="D23" s="6">
        <f>Tabuľka1383132[[#This Row],[Suma s DPH]]</f>
        <v>49.5</v>
      </c>
      <c r="E23" s="6">
        <v>49.5</v>
      </c>
      <c r="F23" s="1" t="s">
        <v>469</v>
      </c>
      <c r="G23" s="4" t="s">
        <v>1100</v>
      </c>
      <c r="H23" s="4" t="s">
        <v>1100</v>
      </c>
      <c r="I23" s="1" t="s">
        <v>1940</v>
      </c>
    </row>
    <row r="24" spans="1:9" x14ac:dyDescent="0.25">
      <c r="A24" s="1" t="s">
        <v>26</v>
      </c>
      <c r="B24" s="1" t="s">
        <v>542</v>
      </c>
      <c r="C24" s="2">
        <v>44232</v>
      </c>
      <c r="D24" s="6">
        <f>Tabuľka1383132[[#This Row],[Suma s DPH]]</f>
        <v>128</v>
      </c>
      <c r="E24" s="6">
        <v>128</v>
      </c>
      <c r="F24" s="1" t="s">
        <v>469</v>
      </c>
      <c r="G24" s="4" t="s">
        <v>1100</v>
      </c>
      <c r="H24" s="4" t="s">
        <v>1100</v>
      </c>
      <c r="I24" s="1" t="s">
        <v>1940</v>
      </c>
    </row>
    <row r="25" spans="1:9" x14ac:dyDescent="0.25">
      <c r="A25" s="1" t="s">
        <v>27</v>
      </c>
      <c r="B25" s="1" t="s">
        <v>543</v>
      </c>
      <c r="C25" s="2">
        <v>44237</v>
      </c>
      <c r="D25" s="6">
        <f>33.04</f>
        <v>33.04</v>
      </c>
      <c r="E25" s="6">
        <v>39.65</v>
      </c>
      <c r="F25" s="1" t="s">
        <v>472</v>
      </c>
      <c r="G25" s="1" t="s">
        <v>1151</v>
      </c>
      <c r="H25" s="1" t="s">
        <v>1090</v>
      </c>
      <c r="I25" s="1" t="s">
        <v>1331</v>
      </c>
    </row>
    <row r="26" spans="1:9" x14ac:dyDescent="0.25">
      <c r="A26" s="1" t="s">
        <v>28</v>
      </c>
      <c r="B26" s="1" t="s">
        <v>544</v>
      </c>
      <c r="C26" s="2">
        <v>44237</v>
      </c>
      <c r="D26" s="6">
        <f>50.7</f>
        <v>50.7</v>
      </c>
      <c r="E26" s="6">
        <v>60.84</v>
      </c>
      <c r="F26" s="1" t="s">
        <v>504</v>
      </c>
      <c r="G26" s="1" t="s">
        <v>1107</v>
      </c>
      <c r="H26" s="1" t="s">
        <v>1108</v>
      </c>
      <c r="I26" s="1" t="s">
        <v>987</v>
      </c>
    </row>
    <row r="27" spans="1:9" x14ac:dyDescent="0.25">
      <c r="A27" s="1" t="s">
        <v>29</v>
      </c>
      <c r="B27" s="1" t="s">
        <v>545</v>
      </c>
      <c r="C27" s="2">
        <v>44237</v>
      </c>
      <c r="D27" s="6">
        <f>Tabuľka1383132[[#This Row],[Suma s DPH]]</f>
        <v>780</v>
      </c>
      <c r="E27" s="6">
        <v>780</v>
      </c>
      <c r="F27" s="1" t="s">
        <v>473</v>
      </c>
      <c r="G27" s="1" t="s">
        <v>1109</v>
      </c>
      <c r="H27" s="1" t="s">
        <v>1110</v>
      </c>
      <c r="I27" s="1" t="s">
        <v>988</v>
      </c>
    </row>
    <row r="28" spans="1:9" x14ac:dyDescent="0.25">
      <c r="A28" s="1" t="s">
        <v>22</v>
      </c>
      <c r="B28" s="1" t="s">
        <v>538</v>
      </c>
      <c r="C28" s="2">
        <v>44228</v>
      </c>
      <c r="D28" s="6">
        <f>582</f>
        <v>582</v>
      </c>
      <c r="E28" s="6">
        <v>698.4</v>
      </c>
      <c r="F28" s="1" t="s">
        <v>470</v>
      </c>
      <c r="G28" s="1" t="s">
        <v>1101</v>
      </c>
      <c r="H28" s="1" t="s">
        <v>1102</v>
      </c>
      <c r="I28" s="1" t="s">
        <v>1332</v>
      </c>
    </row>
    <row r="29" spans="1:9" x14ac:dyDescent="0.25">
      <c r="A29" s="1" t="s">
        <v>23</v>
      </c>
      <c r="B29" s="1" t="s">
        <v>539</v>
      </c>
      <c r="C29" s="2">
        <v>44228</v>
      </c>
      <c r="D29" s="6">
        <f>582</f>
        <v>582</v>
      </c>
      <c r="E29" s="6">
        <v>698.4</v>
      </c>
      <c r="F29" s="1" t="s">
        <v>470</v>
      </c>
      <c r="G29" s="1" t="s">
        <v>1101</v>
      </c>
      <c r="H29" s="1" t="s">
        <v>1102</v>
      </c>
      <c r="I29" s="1" t="s">
        <v>1333</v>
      </c>
    </row>
    <row r="30" spans="1:9" x14ac:dyDescent="0.25">
      <c r="A30" s="1" t="s">
        <v>0</v>
      </c>
      <c r="B30" s="1" t="s">
        <v>516</v>
      </c>
      <c r="C30" s="2">
        <v>44199</v>
      </c>
      <c r="D30" s="6">
        <f>485.94</f>
        <v>485.94</v>
      </c>
      <c r="E30" s="6">
        <v>583.13</v>
      </c>
      <c r="F30" s="1" t="s">
        <v>466</v>
      </c>
      <c r="G30" s="1" t="s">
        <v>1105</v>
      </c>
      <c r="H30" s="1" t="s">
        <v>1106</v>
      </c>
      <c r="I30" s="1" t="s">
        <v>1334</v>
      </c>
    </row>
    <row r="31" spans="1:9" x14ac:dyDescent="0.25">
      <c r="A31" s="1" t="s">
        <v>24</v>
      </c>
      <c r="B31" s="1" t="s">
        <v>540</v>
      </c>
      <c r="C31" s="2">
        <v>44231</v>
      </c>
      <c r="D31" s="6">
        <f>165.96</f>
        <v>165.96</v>
      </c>
      <c r="E31" s="6">
        <v>199.15</v>
      </c>
      <c r="F31" s="1" t="s">
        <v>466</v>
      </c>
      <c r="G31" s="1" t="s">
        <v>1105</v>
      </c>
      <c r="H31" s="1" t="s">
        <v>1106</v>
      </c>
      <c r="I31" s="1" t="s">
        <v>1335</v>
      </c>
    </row>
    <row r="32" spans="1:9" x14ac:dyDescent="0.25">
      <c r="A32" s="1" t="s">
        <v>31</v>
      </c>
      <c r="B32" s="1" t="s">
        <v>547</v>
      </c>
      <c r="C32" s="2">
        <v>44238</v>
      </c>
      <c r="D32" s="6">
        <f>165.96</f>
        <v>165.96</v>
      </c>
      <c r="E32" s="6">
        <v>199.15</v>
      </c>
      <c r="F32" s="1" t="s">
        <v>466</v>
      </c>
      <c r="G32" s="1" t="s">
        <v>1105</v>
      </c>
      <c r="H32" s="1" t="s">
        <v>1106</v>
      </c>
      <c r="I32" s="1" t="s">
        <v>1336</v>
      </c>
    </row>
    <row r="33" spans="1:9" x14ac:dyDescent="0.25">
      <c r="A33" s="1" t="s">
        <v>30</v>
      </c>
      <c r="B33" s="1" t="s">
        <v>546</v>
      </c>
      <c r="C33" s="2">
        <v>44237</v>
      </c>
      <c r="D33" s="6">
        <f>255</f>
        <v>255</v>
      </c>
      <c r="E33" s="6">
        <v>306</v>
      </c>
      <c r="F33" s="1" t="s">
        <v>474</v>
      </c>
      <c r="G33" s="1" t="s">
        <v>1111</v>
      </c>
      <c r="H33" s="1" t="s">
        <v>1112</v>
      </c>
      <c r="I33" s="1" t="s">
        <v>1337</v>
      </c>
    </row>
    <row r="34" spans="1:9" x14ac:dyDescent="0.25">
      <c r="A34" s="1" t="s">
        <v>35</v>
      </c>
      <c r="B34" s="1" t="s">
        <v>551</v>
      </c>
      <c r="C34" s="2">
        <v>44242</v>
      </c>
      <c r="D34" s="29">
        <f>-6.2</f>
        <v>-6.2</v>
      </c>
      <c r="E34" s="29">
        <v>-7.44</v>
      </c>
      <c r="F34" s="1" t="s">
        <v>468</v>
      </c>
      <c r="G34" s="1" t="s">
        <v>1098</v>
      </c>
      <c r="H34" s="7" t="s">
        <v>1108</v>
      </c>
      <c r="I34" s="1" t="s">
        <v>1338</v>
      </c>
    </row>
    <row r="35" spans="1:9" x14ac:dyDescent="0.25">
      <c r="A35" s="1" t="s">
        <v>36</v>
      </c>
      <c r="B35" s="1" t="s">
        <v>552</v>
      </c>
      <c r="C35" s="2">
        <v>44242</v>
      </c>
      <c r="D35" s="6">
        <f>12311.67</f>
        <v>12311.67</v>
      </c>
      <c r="E35" s="6">
        <v>14774</v>
      </c>
      <c r="F35" s="1" t="s">
        <v>468</v>
      </c>
      <c r="G35" s="1" t="s">
        <v>1098</v>
      </c>
      <c r="H35" s="7" t="s">
        <v>1108</v>
      </c>
      <c r="I35" s="1" t="s">
        <v>1339</v>
      </c>
    </row>
    <row r="36" spans="1:9" x14ac:dyDescent="0.25">
      <c r="A36" s="1" t="s">
        <v>37</v>
      </c>
      <c r="B36" s="1" t="s">
        <v>553</v>
      </c>
      <c r="C36" s="2">
        <v>44242</v>
      </c>
      <c r="D36" s="6">
        <f>3355.83</f>
        <v>3355.83</v>
      </c>
      <c r="E36" s="6">
        <v>4027</v>
      </c>
      <c r="F36" s="1" t="s">
        <v>468</v>
      </c>
      <c r="G36" s="1" t="s">
        <v>1098</v>
      </c>
      <c r="H36" s="7" t="s">
        <v>1108</v>
      </c>
      <c r="I36" s="1" t="s">
        <v>1340</v>
      </c>
    </row>
    <row r="37" spans="1:9" x14ac:dyDescent="0.25">
      <c r="A37" s="1" t="s">
        <v>38</v>
      </c>
      <c r="B37" s="1" t="s">
        <v>554</v>
      </c>
      <c r="C37" s="2">
        <v>44242</v>
      </c>
      <c r="D37" s="29">
        <f>Tabuľka1383132[[#This Row],[Suma s DPH]]/120*100</f>
        <v>-1195.4083333333333</v>
      </c>
      <c r="E37" s="29">
        <v>-1434.49</v>
      </c>
      <c r="F37" s="1" t="s">
        <v>475</v>
      </c>
      <c r="G37" s="1" t="s">
        <v>1115</v>
      </c>
      <c r="H37" s="1" t="s">
        <v>1116</v>
      </c>
      <c r="I37" s="1" t="s">
        <v>1341</v>
      </c>
    </row>
    <row r="38" spans="1:9" x14ac:dyDescent="0.25">
      <c r="A38" s="1" t="s">
        <v>32</v>
      </c>
      <c r="B38" s="1" t="s">
        <v>548</v>
      </c>
      <c r="C38" s="2">
        <v>44239</v>
      </c>
      <c r="D38" s="6">
        <f>40</f>
        <v>40</v>
      </c>
      <c r="E38" s="6">
        <v>48</v>
      </c>
      <c r="F38" s="1" t="s">
        <v>472</v>
      </c>
      <c r="G38" s="1" t="s">
        <v>1151</v>
      </c>
      <c r="H38" s="1" t="s">
        <v>1091</v>
      </c>
      <c r="I38" s="1" t="s">
        <v>1347</v>
      </c>
    </row>
    <row r="39" spans="1:9" x14ac:dyDescent="0.25">
      <c r="A39" s="1" t="s">
        <v>39</v>
      </c>
      <c r="B39" s="1" t="s">
        <v>555</v>
      </c>
      <c r="C39" s="2">
        <v>44245</v>
      </c>
      <c r="D39" s="6">
        <f>Tabuľka1383132[[#This Row],[Suma s DPH]]</f>
        <v>211</v>
      </c>
      <c r="E39" s="6">
        <v>211</v>
      </c>
      <c r="F39" s="1" t="s">
        <v>469</v>
      </c>
      <c r="G39" s="4" t="s">
        <v>1100</v>
      </c>
      <c r="H39" s="4" t="s">
        <v>1100</v>
      </c>
      <c r="I39" s="1" t="s">
        <v>1940</v>
      </c>
    </row>
    <row r="40" spans="1:9" x14ac:dyDescent="0.25">
      <c r="A40" s="1" t="s">
        <v>40</v>
      </c>
      <c r="B40" s="1" t="s">
        <v>556</v>
      </c>
      <c r="C40" s="2">
        <v>44245</v>
      </c>
      <c r="D40" s="6">
        <f>Tabuľka1383132[[#This Row],[Suma s DPH]]</f>
        <v>60</v>
      </c>
      <c r="E40" s="6">
        <v>60</v>
      </c>
      <c r="F40" s="1" t="s">
        <v>469</v>
      </c>
      <c r="G40" s="4" t="s">
        <v>1100</v>
      </c>
      <c r="H40" s="4" t="s">
        <v>1100</v>
      </c>
      <c r="I40" s="1" t="s">
        <v>1940</v>
      </c>
    </row>
    <row r="41" spans="1:9" x14ac:dyDescent="0.25">
      <c r="A41" s="1" t="s">
        <v>41</v>
      </c>
      <c r="B41" s="1" t="s">
        <v>557</v>
      </c>
      <c r="C41" s="2">
        <v>44245</v>
      </c>
      <c r="D41" s="6">
        <f>Tabuľka1383132[[#This Row],[Suma s DPH]]</f>
        <v>67.5</v>
      </c>
      <c r="E41" s="6">
        <v>67.5</v>
      </c>
      <c r="F41" s="1" t="s">
        <v>469</v>
      </c>
      <c r="G41" s="4" t="s">
        <v>1100</v>
      </c>
      <c r="H41" s="4" t="s">
        <v>1100</v>
      </c>
      <c r="I41" s="1" t="s">
        <v>1940</v>
      </c>
    </row>
    <row r="42" spans="1:9" x14ac:dyDescent="0.25">
      <c r="A42" s="1" t="s">
        <v>42</v>
      </c>
      <c r="B42" s="1" t="s">
        <v>558</v>
      </c>
      <c r="C42" s="2">
        <v>44245</v>
      </c>
      <c r="D42" s="6">
        <f>Tabuľka1383132[[#This Row],[Suma s DPH]]</f>
        <v>16.5</v>
      </c>
      <c r="E42" s="6">
        <v>16.5</v>
      </c>
      <c r="F42" s="1" t="s">
        <v>469</v>
      </c>
      <c r="G42" s="4" t="s">
        <v>1100</v>
      </c>
      <c r="H42" s="4" t="s">
        <v>1100</v>
      </c>
      <c r="I42" s="1" t="s">
        <v>1940</v>
      </c>
    </row>
    <row r="43" spans="1:9" x14ac:dyDescent="0.25">
      <c r="A43" s="1" t="s">
        <v>43</v>
      </c>
      <c r="B43" s="1" t="s">
        <v>559</v>
      </c>
      <c r="C43" s="2">
        <v>44245</v>
      </c>
      <c r="D43" s="6">
        <f>Tabuľka1383132[[#This Row],[Suma s DPH]]</f>
        <v>16.5</v>
      </c>
      <c r="E43" s="6">
        <v>16.5</v>
      </c>
      <c r="F43" s="1" t="s">
        <v>469</v>
      </c>
      <c r="G43" s="4" t="s">
        <v>1100</v>
      </c>
      <c r="H43" s="4" t="s">
        <v>1100</v>
      </c>
      <c r="I43" s="1" t="s">
        <v>1940</v>
      </c>
    </row>
    <row r="44" spans="1:9" x14ac:dyDescent="0.25">
      <c r="A44" s="1" t="s">
        <v>44</v>
      </c>
      <c r="B44" s="1" t="s">
        <v>560</v>
      </c>
      <c r="C44" s="2">
        <v>44245</v>
      </c>
      <c r="D44" s="6">
        <f>Tabuľka1383132[[#This Row],[Suma s DPH]]</f>
        <v>16.5</v>
      </c>
      <c r="E44" s="6">
        <v>16.5</v>
      </c>
      <c r="F44" s="1" t="s">
        <v>469</v>
      </c>
      <c r="G44" s="4" t="s">
        <v>1100</v>
      </c>
      <c r="H44" s="4" t="s">
        <v>1100</v>
      </c>
      <c r="I44" s="1" t="s">
        <v>1940</v>
      </c>
    </row>
    <row r="45" spans="1:9" x14ac:dyDescent="0.25">
      <c r="A45" s="1" t="s">
        <v>45</v>
      </c>
      <c r="B45" s="1" t="s">
        <v>561</v>
      </c>
      <c r="C45" s="2">
        <v>44245</v>
      </c>
      <c r="D45" s="6">
        <f>Tabuľka1383132[[#This Row],[Suma s DPH]]</f>
        <v>16.5</v>
      </c>
      <c r="E45" s="6">
        <v>16.5</v>
      </c>
      <c r="F45" s="1" t="s">
        <v>469</v>
      </c>
      <c r="G45" s="4" t="s">
        <v>1100</v>
      </c>
      <c r="H45" s="4" t="s">
        <v>1100</v>
      </c>
      <c r="I45" s="1" t="s">
        <v>1940</v>
      </c>
    </row>
    <row r="46" spans="1:9" x14ac:dyDescent="0.25">
      <c r="A46" s="1" t="s">
        <v>46</v>
      </c>
      <c r="B46" s="1" t="s">
        <v>562</v>
      </c>
      <c r="C46" s="2">
        <v>44245</v>
      </c>
      <c r="D46" s="6">
        <f>Tabuľka1383132[[#This Row],[Suma s DPH]]</f>
        <v>16.5</v>
      </c>
      <c r="E46" s="6">
        <v>16.5</v>
      </c>
      <c r="F46" s="1" t="s">
        <v>469</v>
      </c>
      <c r="G46" s="4" t="s">
        <v>1100</v>
      </c>
      <c r="H46" s="4" t="s">
        <v>1100</v>
      </c>
      <c r="I46" s="1" t="s">
        <v>1940</v>
      </c>
    </row>
    <row r="47" spans="1:9" x14ac:dyDescent="0.25">
      <c r="A47" s="1" t="s">
        <v>47</v>
      </c>
      <c r="B47" s="1" t="s">
        <v>563</v>
      </c>
      <c r="C47" s="2">
        <v>44245</v>
      </c>
      <c r="D47" s="6">
        <f>Tabuľka1383132[[#This Row],[Suma s DPH]]</f>
        <v>16.5</v>
      </c>
      <c r="E47" s="6">
        <v>16.5</v>
      </c>
      <c r="F47" s="1" t="s">
        <v>469</v>
      </c>
      <c r="G47" s="4" t="s">
        <v>1100</v>
      </c>
      <c r="H47" s="4" t="s">
        <v>1100</v>
      </c>
      <c r="I47" s="1" t="s">
        <v>1940</v>
      </c>
    </row>
    <row r="48" spans="1:9" x14ac:dyDescent="0.25">
      <c r="A48" s="1" t="s">
        <v>33</v>
      </c>
      <c r="B48" s="1" t="s">
        <v>549</v>
      </c>
      <c r="C48" s="2">
        <v>44239</v>
      </c>
      <c r="D48" s="6">
        <f>114</f>
        <v>114</v>
      </c>
      <c r="E48" s="6">
        <v>136.80000000000001</v>
      </c>
      <c r="F48" s="1" t="s">
        <v>472</v>
      </c>
      <c r="G48" s="1" t="s">
        <v>1151</v>
      </c>
      <c r="H48" s="1" t="s">
        <v>1091</v>
      </c>
      <c r="I48" s="1" t="s">
        <v>1348</v>
      </c>
    </row>
    <row r="49" spans="1:9" x14ac:dyDescent="0.25">
      <c r="A49" s="1" t="s">
        <v>48</v>
      </c>
      <c r="B49" s="1" t="s">
        <v>564</v>
      </c>
      <c r="C49" s="2">
        <v>44245</v>
      </c>
      <c r="D49" s="6">
        <f>308</f>
        <v>308</v>
      </c>
      <c r="E49" s="6">
        <v>369.6</v>
      </c>
      <c r="F49" s="1" t="s">
        <v>472</v>
      </c>
      <c r="G49" s="1" t="s">
        <v>1151</v>
      </c>
      <c r="H49" s="1" t="s">
        <v>1092</v>
      </c>
      <c r="I49" s="1" t="s">
        <v>1349</v>
      </c>
    </row>
    <row r="50" spans="1:9" x14ac:dyDescent="0.25">
      <c r="A50" s="1" t="s">
        <v>49</v>
      </c>
      <c r="B50" s="1" t="s">
        <v>565</v>
      </c>
      <c r="C50" s="2">
        <v>44246</v>
      </c>
      <c r="D50" s="6">
        <f>50.76</f>
        <v>50.76</v>
      </c>
      <c r="E50" s="6">
        <v>60.9</v>
      </c>
      <c r="F50" s="1" t="s">
        <v>467</v>
      </c>
      <c r="G50" s="1" t="s">
        <v>1099</v>
      </c>
      <c r="H50" s="1" t="s">
        <v>1117</v>
      </c>
      <c r="I50" s="1" t="s">
        <v>1295</v>
      </c>
    </row>
    <row r="51" spans="1:9" x14ac:dyDescent="0.25">
      <c r="A51" s="1" t="s">
        <v>51</v>
      </c>
      <c r="B51" s="1" t="s">
        <v>567</v>
      </c>
      <c r="C51" s="2">
        <v>44249</v>
      </c>
      <c r="D51" s="6">
        <f>245.52</f>
        <v>245.52</v>
      </c>
      <c r="E51" s="6">
        <v>294.63</v>
      </c>
      <c r="F51" s="1" t="s">
        <v>468</v>
      </c>
      <c r="G51" s="1" t="s">
        <v>1098</v>
      </c>
      <c r="H51" s="7" t="s">
        <v>1108</v>
      </c>
      <c r="I51" s="1" t="s">
        <v>1350</v>
      </c>
    </row>
    <row r="52" spans="1:9" x14ac:dyDescent="0.25">
      <c r="A52" s="1" t="s">
        <v>52</v>
      </c>
      <c r="B52" s="1" t="s">
        <v>568</v>
      </c>
      <c r="C52" s="2">
        <v>44249</v>
      </c>
      <c r="D52" s="6">
        <f>43</f>
        <v>43</v>
      </c>
      <c r="E52" s="6">
        <v>51.6</v>
      </c>
      <c r="F52" s="1" t="s">
        <v>468</v>
      </c>
      <c r="G52" s="1" t="s">
        <v>1098</v>
      </c>
      <c r="H52" s="7" t="s">
        <v>1108</v>
      </c>
      <c r="I52" s="1" t="s">
        <v>1351</v>
      </c>
    </row>
    <row r="53" spans="1:9" x14ac:dyDescent="0.25">
      <c r="A53" s="1" t="s">
        <v>34</v>
      </c>
      <c r="B53" s="1" t="s">
        <v>550</v>
      </c>
      <c r="C53" s="2">
        <v>44239</v>
      </c>
      <c r="D53" s="6">
        <f>1216.29</f>
        <v>1216.29</v>
      </c>
      <c r="E53" s="6">
        <v>1459.55</v>
      </c>
      <c r="F53" s="1" t="s">
        <v>468</v>
      </c>
      <c r="G53" s="1" t="s">
        <v>1098</v>
      </c>
      <c r="H53" s="7" t="s">
        <v>1108</v>
      </c>
      <c r="I53" s="1" t="s">
        <v>1352</v>
      </c>
    </row>
    <row r="54" spans="1:9" x14ac:dyDescent="0.25">
      <c r="A54" s="1" t="s">
        <v>53</v>
      </c>
      <c r="B54" s="1" t="s">
        <v>569</v>
      </c>
      <c r="C54" s="2">
        <v>44249</v>
      </c>
      <c r="D54" s="12">
        <f>34.24</f>
        <v>34.24</v>
      </c>
      <c r="E54" s="12">
        <f>34.24</f>
        <v>34.24</v>
      </c>
      <c r="F54" s="1" t="s">
        <v>468</v>
      </c>
      <c r="G54" s="1" t="s">
        <v>1098</v>
      </c>
      <c r="H54" s="7" t="s">
        <v>1108</v>
      </c>
      <c r="I54" s="1" t="s">
        <v>1353</v>
      </c>
    </row>
    <row r="55" spans="1:9" x14ac:dyDescent="0.25">
      <c r="A55" s="1" t="s">
        <v>54</v>
      </c>
      <c r="B55" s="1" t="s">
        <v>570</v>
      </c>
      <c r="C55" s="2">
        <v>44249</v>
      </c>
      <c r="D55" s="6">
        <f>293</f>
        <v>293</v>
      </c>
      <c r="E55" s="6">
        <v>351.6</v>
      </c>
      <c r="F55" s="1" t="s">
        <v>468</v>
      </c>
      <c r="G55" s="1" t="s">
        <v>1098</v>
      </c>
      <c r="H55" s="7" t="s">
        <v>1108</v>
      </c>
      <c r="I55" s="1" t="s">
        <v>1260</v>
      </c>
    </row>
    <row r="56" spans="1:9" x14ac:dyDescent="0.25">
      <c r="A56" s="1" t="s">
        <v>55</v>
      </c>
      <c r="B56" s="1" t="s">
        <v>571</v>
      </c>
      <c r="C56" s="2">
        <v>44249</v>
      </c>
      <c r="D56" s="6">
        <f>2456.59</f>
        <v>2456.59</v>
      </c>
      <c r="E56" s="6">
        <v>2947.91</v>
      </c>
      <c r="F56" s="1" t="s">
        <v>468</v>
      </c>
      <c r="G56" s="1" t="s">
        <v>1098</v>
      </c>
      <c r="H56" s="7" t="s">
        <v>1108</v>
      </c>
      <c r="I56" s="1" t="s">
        <v>1354</v>
      </c>
    </row>
    <row r="57" spans="1:9" x14ac:dyDescent="0.25">
      <c r="A57" s="1" t="s">
        <v>56</v>
      </c>
      <c r="B57" s="1" t="s">
        <v>572</v>
      </c>
      <c r="C57" s="2">
        <v>44253</v>
      </c>
      <c r="D57" s="6">
        <f>3.33</f>
        <v>3.33</v>
      </c>
      <c r="E57" s="6">
        <v>4</v>
      </c>
      <c r="F57" s="1" t="s">
        <v>468</v>
      </c>
      <c r="G57" s="1" t="s">
        <v>1098</v>
      </c>
      <c r="H57" s="7" t="s">
        <v>1108</v>
      </c>
      <c r="I57" s="1" t="s">
        <v>1355</v>
      </c>
    </row>
    <row r="58" spans="1:9" x14ac:dyDescent="0.25">
      <c r="A58" s="1" t="s">
        <v>50</v>
      </c>
      <c r="B58" s="1" t="s">
        <v>566</v>
      </c>
      <c r="C58" s="2">
        <v>44246</v>
      </c>
      <c r="D58" s="6">
        <f>4.24</f>
        <v>4.24</v>
      </c>
      <c r="E58" s="6">
        <v>5.09</v>
      </c>
      <c r="F58" s="1" t="s">
        <v>475</v>
      </c>
      <c r="G58" s="1" t="s">
        <v>1115</v>
      </c>
      <c r="H58" s="1" t="s">
        <v>1116</v>
      </c>
      <c r="I58" s="1" t="s">
        <v>1356</v>
      </c>
    </row>
    <row r="59" spans="1:9" x14ac:dyDescent="0.25">
      <c r="A59" s="1" t="s">
        <v>57</v>
      </c>
      <c r="B59" s="1" t="s">
        <v>573</v>
      </c>
      <c r="C59" s="2">
        <v>44253</v>
      </c>
      <c r="D59" s="6">
        <f>Tabuľka1383132[[#This Row],[Suma s DPH]]</f>
        <v>49.5</v>
      </c>
      <c r="E59" s="6">
        <v>49.5</v>
      </c>
      <c r="F59" s="1" t="s">
        <v>469</v>
      </c>
      <c r="G59" s="4" t="s">
        <v>1100</v>
      </c>
      <c r="H59" s="4" t="s">
        <v>1100</v>
      </c>
      <c r="I59" s="1" t="s">
        <v>1940</v>
      </c>
    </row>
    <row r="60" spans="1:9" x14ac:dyDescent="0.25">
      <c r="A60" s="1" t="s">
        <v>58</v>
      </c>
      <c r="B60" s="1" t="s">
        <v>574</v>
      </c>
      <c r="C60" s="2">
        <v>44253</v>
      </c>
      <c r="D60" s="12">
        <f>Tabuľka1383132[[#This Row],[Suma s DPH]]</f>
        <v>222.1</v>
      </c>
      <c r="E60" s="12">
        <f>222.1</f>
        <v>222.1</v>
      </c>
      <c r="F60" s="1" t="s">
        <v>473</v>
      </c>
      <c r="G60" s="1" t="s">
        <v>1109</v>
      </c>
      <c r="H60" s="1" t="s">
        <v>1110</v>
      </c>
      <c r="I60" s="1" t="s">
        <v>1941</v>
      </c>
    </row>
    <row r="61" spans="1:9" x14ac:dyDescent="0.25">
      <c r="A61" s="1" t="s">
        <v>59</v>
      </c>
      <c r="B61" s="1" t="s">
        <v>575</v>
      </c>
      <c r="C61" s="2">
        <v>44253</v>
      </c>
      <c r="D61" s="6">
        <f>Tabuľka1383132[[#This Row],[Suma s DPH]]</f>
        <v>49.5</v>
      </c>
      <c r="E61" s="6">
        <v>49.5</v>
      </c>
      <c r="F61" s="1" t="s">
        <v>469</v>
      </c>
      <c r="G61" s="4" t="s">
        <v>1100</v>
      </c>
      <c r="H61" s="4" t="s">
        <v>1100</v>
      </c>
      <c r="I61" s="1" t="s">
        <v>1940</v>
      </c>
    </row>
    <row r="62" spans="1:9" x14ac:dyDescent="0.25">
      <c r="A62" s="1" t="s">
        <v>60</v>
      </c>
      <c r="B62" s="1" t="s">
        <v>576</v>
      </c>
      <c r="C62" s="2">
        <v>44253</v>
      </c>
      <c r="D62" s="6">
        <f>Tabuľka1383132[[#This Row],[Suma s DPH]]</f>
        <v>49.5</v>
      </c>
      <c r="E62" s="6">
        <v>49.5</v>
      </c>
      <c r="F62" s="1" t="s">
        <v>469</v>
      </c>
      <c r="G62" s="4" t="s">
        <v>1100</v>
      </c>
      <c r="H62" s="4" t="s">
        <v>1100</v>
      </c>
      <c r="I62" s="1" t="s">
        <v>1940</v>
      </c>
    </row>
    <row r="63" spans="1:9" x14ac:dyDescent="0.25">
      <c r="A63" s="1" t="s">
        <v>61</v>
      </c>
      <c r="B63" s="1" t="s">
        <v>577</v>
      </c>
      <c r="C63" s="2">
        <v>44253</v>
      </c>
      <c r="D63" s="6">
        <f>Tabuľka1383132[[#This Row],[Suma s DPH]]</f>
        <v>49.5</v>
      </c>
      <c r="E63" s="6">
        <v>49.5</v>
      </c>
      <c r="F63" s="1" t="s">
        <v>469</v>
      </c>
      <c r="G63" s="4" t="s">
        <v>1100</v>
      </c>
      <c r="H63" s="4" t="s">
        <v>1100</v>
      </c>
      <c r="I63" s="1" t="s">
        <v>1940</v>
      </c>
    </row>
    <row r="64" spans="1:9" x14ac:dyDescent="0.25">
      <c r="A64" s="1" t="s">
        <v>62</v>
      </c>
      <c r="B64" s="1" t="s">
        <v>578</v>
      </c>
      <c r="C64" s="2">
        <v>44253</v>
      </c>
      <c r="D64" s="6">
        <f>Tabuľka1383132[[#This Row],[Suma s DPH]]</f>
        <v>142.5</v>
      </c>
      <c r="E64" s="6">
        <v>142.5</v>
      </c>
      <c r="F64" s="1" t="s">
        <v>469</v>
      </c>
      <c r="G64" s="4" t="s">
        <v>1100</v>
      </c>
      <c r="H64" s="4" t="s">
        <v>1100</v>
      </c>
      <c r="I64" s="1" t="s">
        <v>1940</v>
      </c>
    </row>
    <row r="65" spans="1:9" x14ac:dyDescent="0.25">
      <c r="A65" s="1" t="s">
        <v>63</v>
      </c>
      <c r="B65" s="1" t="s">
        <v>579</v>
      </c>
      <c r="C65" s="2">
        <v>44253</v>
      </c>
      <c r="D65" s="6">
        <f>Tabuľka1383132[[#This Row],[Suma s DPH]]</f>
        <v>176.5</v>
      </c>
      <c r="E65" s="6">
        <v>176.5</v>
      </c>
      <c r="F65" s="1" t="s">
        <v>469</v>
      </c>
      <c r="G65" s="4" t="s">
        <v>1100</v>
      </c>
      <c r="H65" s="4" t="s">
        <v>1100</v>
      </c>
      <c r="I65" s="1" t="s">
        <v>1940</v>
      </c>
    </row>
    <row r="66" spans="1:9" x14ac:dyDescent="0.25">
      <c r="A66" s="1" t="s">
        <v>81</v>
      </c>
      <c r="B66" s="1" t="s">
        <v>597</v>
      </c>
      <c r="C66" s="2">
        <v>44260</v>
      </c>
      <c r="D66" s="6">
        <f>Tabuľka1383132[[#This Row],[Suma s DPH]]</f>
        <v>134</v>
      </c>
      <c r="E66" s="6">
        <v>134</v>
      </c>
      <c r="F66" s="1" t="s">
        <v>469</v>
      </c>
      <c r="G66" s="4" t="s">
        <v>1100</v>
      </c>
      <c r="H66" s="4" t="s">
        <v>1100</v>
      </c>
      <c r="I66" s="1" t="s">
        <v>1940</v>
      </c>
    </row>
    <row r="67" spans="1:9" x14ac:dyDescent="0.25">
      <c r="A67" s="1" t="s">
        <v>82</v>
      </c>
      <c r="B67" s="1" t="s">
        <v>598</v>
      </c>
      <c r="C67" s="2">
        <v>44260</v>
      </c>
      <c r="D67" s="6">
        <f>Tabuľka1383132[[#This Row],[Suma s DPH]]</f>
        <v>46</v>
      </c>
      <c r="E67" s="6">
        <v>46</v>
      </c>
      <c r="F67" s="1" t="s">
        <v>469</v>
      </c>
      <c r="G67" s="4" t="s">
        <v>1100</v>
      </c>
      <c r="H67" s="4" t="s">
        <v>1100</v>
      </c>
      <c r="I67" s="1" t="s">
        <v>1940</v>
      </c>
    </row>
    <row r="68" spans="1:9" x14ac:dyDescent="0.25">
      <c r="A68" s="1" t="s">
        <v>83</v>
      </c>
      <c r="B68" s="1" t="s">
        <v>599</v>
      </c>
      <c r="C68" s="2">
        <v>44260</v>
      </c>
      <c r="D68" s="6">
        <f>Tabuľka1383132[[#This Row],[Suma s DPH]]</f>
        <v>142.5</v>
      </c>
      <c r="E68" s="6">
        <v>142.5</v>
      </c>
      <c r="F68" s="1" t="s">
        <v>469</v>
      </c>
      <c r="G68" s="4" t="s">
        <v>1100</v>
      </c>
      <c r="H68" s="4" t="s">
        <v>1100</v>
      </c>
      <c r="I68" s="1" t="s">
        <v>1940</v>
      </c>
    </row>
    <row r="69" spans="1:9" x14ac:dyDescent="0.25">
      <c r="A69" s="1" t="s">
        <v>84</v>
      </c>
      <c r="B69" s="1" t="s">
        <v>600</v>
      </c>
      <c r="C69" s="2">
        <v>44260</v>
      </c>
      <c r="D69" s="6">
        <f>Tabuľka1383132[[#This Row],[Suma s DPH]]</f>
        <v>80</v>
      </c>
      <c r="E69" s="6">
        <v>80</v>
      </c>
      <c r="F69" s="1" t="s">
        <v>478</v>
      </c>
      <c r="G69" s="1" t="s">
        <v>1122</v>
      </c>
      <c r="H69" s="1" t="s">
        <v>1123</v>
      </c>
      <c r="I69" s="1" t="s">
        <v>1357</v>
      </c>
    </row>
    <row r="70" spans="1:9" x14ac:dyDescent="0.25">
      <c r="A70" s="1" t="s">
        <v>85</v>
      </c>
      <c r="B70" s="1" t="s">
        <v>601</v>
      </c>
      <c r="C70" s="2">
        <v>44260</v>
      </c>
      <c r="D70" s="6">
        <f>Tabuľka1383132[[#This Row],[Suma s DPH]]</f>
        <v>780</v>
      </c>
      <c r="E70" s="6">
        <v>780</v>
      </c>
      <c r="F70" s="1" t="s">
        <v>473</v>
      </c>
      <c r="G70" s="1" t="s">
        <v>1109</v>
      </c>
      <c r="H70" s="1" t="s">
        <v>1110</v>
      </c>
      <c r="I70" s="1" t="s">
        <v>993</v>
      </c>
    </row>
    <row r="71" spans="1:9" x14ac:dyDescent="0.25">
      <c r="A71" s="1" t="s">
        <v>64</v>
      </c>
      <c r="B71" s="1" t="s">
        <v>580</v>
      </c>
      <c r="C71" s="2">
        <v>44256</v>
      </c>
      <c r="D71" s="6">
        <f>19089</f>
        <v>19089</v>
      </c>
      <c r="E71" s="6">
        <v>22906.799999999999</v>
      </c>
      <c r="F71" s="1" t="s">
        <v>468</v>
      </c>
      <c r="G71" s="1" t="s">
        <v>1098</v>
      </c>
      <c r="H71" s="1" t="s">
        <v>1189</v>
      </c>
      <c r="I71" s="1" t="s">
        <v>1304</v>
      </c>
    </row>
    <row r="72" spans="1:9" x14ac:dyDescent="0.25">
      <c r="A72" s="1" t="s">
        <v>65</v>
      </c>
      <c r="B72" s="1" t="s">
        <v>581</v>
      </c>
      <c r="C72" s="2">
        <v>44256</v>
      </c>
      <c r="D72" s="6">
        <f>700</f>
        <v>700</v>
      </c>
      <c r="E72" s="6">
        <v>840</v>
      </c>
      <c r="F72" s="1" t="s">
        <v>468</v>
      </c>
      <c r="G72" s="1" t="s">
        <v>1098</v>
      </c>
      <c r="H72" s="1" t="s">
        <v>1189</v>
      </c>
      <c r="I72" s="1" t="s">
        <v>1309</v>
      </c>
    </row>
    <row r="73" spans="1:9" x14ac:dyDescent="0.25">
      <c r="A73" s="1" t="s">
        <v>66</v>
      </c>
      <c r="B73" s="1" t="s">
        <v>582</v>
      </c>
      <c r="C73" s="2">
        <v>44256</v>
      </c>
      <c r="D73" s="6">
        <f>160</f>
        <v>160</v>
      </c>
      <c r="E73" s="6">
        <v>192</v>
      </c>
      <c r="F73" s="1" t="s">
        <v>468</v>
      </c>
      <c r="G73" s="1" t="s">
        <v>1098</v>
      </c>
      <c r="H73" s="1" t="s">
        <v>1189</v>
      </c>
      <c r="I73" s="1" t="s">
        <v>1318</v>
      </c>
    </row>
    <row r="74" spans="1:9" x14ac:dyDescent="0.25">
      <c r="A74" s="1" t="s">
        <v>67</v>
      </c>
      <c r="B74" s="1" t="s">
        <v>583</v>
      </c>
      <c r="C74" s="2">
        <v>44256</v>
      </c>
      <c r="D74" s="6">
        <f>112</f>
        <v>112</v>
      </c>
      <c r="E74" s="6">
        <v>134.4</v>
      </c>
      <c r="F74" s="1" t="s">
        <v>468</v>
      </c>
      <c r="G74" s="1" t="s">
        <v>1098</v>
      </c>
      <c r="H74" s="1" t="s">
        <v>1189</v>
      </c>
      <c r="I74" s="1" t="s">
        <v>1314</v>
      </c>
    </row>
    <row r="75" spans="1:9" x14ac:dyDescent="0.25">
      <c r="A75" s="1" t="s">
        <v>68</v>
      </c>
      <c r="B75" s="1" t="s">
        <v>584</v>
      </c>
      <c r="C75" s="2">
        <v>44256</v>
      </c>
      <c r="D75" s="6">
        <f>24</f>
        <v>24</v>
      </c>
      <c r="E75" s="6">
        <v>28.8</v>
      </c>
      <c r="F75" s="1" t="s">
        <v>468</v>
      </c>
      <c r="G75" s="1" t="s">
        <v>1098</v>
      </c>
      <c r="H75" s="1" t="s">
        <v>1189</v>
      </c>
      <c r="I75" s="1" t="s">
        <v>1321</v>
      </c>
    </row>
    <row r="76" spans="1:9" x14ac:dyDescent="0.25">
      <c r="A76" s="1" t="s">
        <v>69</v>
      </c>
      <c r="B76" s="1" t="s">
        <v>585</v>
      </c>
      <c r="C76" s="2">
        <v>44256</v>
      </c>
      <c r="D76" s="6">
        <f>16953.33</f>
        <v>16953.330000000002</v>
      </c>
      <c r="E76" s="6">
        <v>20344</v>
      </c>
      <c r="F76" s="1" t="s">
        <v>468</v>
      </c>
      <c r="G76" s="1" t="s">
        <v>1098</v>
      </c>
      <c r="H76" s="1" t="s">
        <v>1190</v>
      </c>
      <c r="I76" s="1" t="s">
        <v>989</v>
      </c>
    </row>
    <row r="77" spans="1:9" x14ac:dyDescent="0.25">
      <c r="A77" s="1" t="s">
        <v>70</v>
      </c>
      <c r="B77" s="1" t="s">
        <v>586</v>
      </c>
      <c r="C77" s="2">
        <v>44256</v>
      </c>
      <c r="D77" s="6">
        <f>11867.5</f>
        <v>11867.5</v>
      </c>
      <c r="E77" s="6">
        <v>14241</v>
      </c>
      <c r="F77" s="1" t="s">
        <v>468</v>
      </c>
      <c r="G77" s="1" t="s">
        <v>1098</v>
      </c>
      <c r="H77" s="1" t="s">
        <v>1190</v>
      </c>
      <c r="I77" s="1" t="s">
        <v>990</v>
      </c>
    </row>
    <row r="78" spans="1:9" x14ac:dyDescent="0.25">
      <c r="A78" s="1" t="s">
        <v>71</v>
      </c>
      <c r="B78" s="1" t="s">
        <v>587</v>
      </c>
      <c r="C78" s="2">
        <v>44256</v>
      </c>
      <c r="D78" s="6">
        <f>2543.26</f>
        <v>2543.2600000000002</v>
      </c>
      <c r="E78" s="6">
        <v>3051.91</v>
      </c>
      <c r="F78" s="1" t="s">
        <v>468</v>
      </c>
      <c r="G78" s="1" t="s">
        <v>1098</v>
      </c>
      <c r="H78" s="1" t="s">
        <v>1190</v>
      </c>
      <c r="I78" s="1" t="s">
        <v>991</v>
      </c>
    </row>
    <row r="79" spans="1:9" x14ac:dyDescent="0.25">
      <c r="A79" s="1" t="s">
        <v>78</v>
      </c>
      <c r="B79" s="1" t="s">
        <v>594</v>
      </c>
      <c r="C79" s="2">
        <v>44257</v>
      </c>
      <c r="D79" s="6">
        <f>1184.17</f>
        <v>1184.17</v>
      </c>
      <c r="E79" s="6">
        <v>1421</v>
      </c>
      <c r="F79" s="1" t="s">
        <v>468</v>
      </c>
      <c r="G79" s="1" t="s">
        <v>1098</v>
      </c>
      <c r="H79" s="7" t="s">
        <v>1108</v>
      </c>
      <c r="I79" s="1" t="s">
        <v>1358</v>
      </c>
    </row>
    <row r="80" spans="1:9" x14ac:dyDescent="0.25">
      <c r="A80" s="1" t="s">
        <v>72</v>
      </c>
      <c r="B80" s="1" t="s">
        <v>588</v>
      </c>
      <c r="C80" s="2">
        <v>44256</v>
      </c>
      <c r="D80" s="6">
        <f>78</f>
        <v>78</v>
      </c>
      <c r="E80" s="6">
        <v>93.6</v>
      </c>
      <c r="F80" s="1" t="s">
        <v>470</v>
      </c>
      <c r="G80" s="1" t="s">
        <v>1101</v>
      </c>
      <c r="H80" s="1" t="s">
        <v>1102</v>
      </c>
      <c r="I80" s="1" t="s">
        <v>1359</v>
      </c>
    </row>
    <row r="81" spans="1:9" x14ac:dyDescent="0.25">
      <c r="A81" s="1" t="s">
        <v>73</v>
      </c>
      <c r="B81" s="1" t="s">
        <v>589</v>
      </c>
      <c r="C81" s="2">
        <v>44256</v>
      </c>
      <c r="D81" s="6">
        <f>63.2</f>
        <v>63.2</v>
      </c>
      <c r="E81" s="6">
        <v>75.84</v>
      </c>
      <c r="F81" s="1" t="s">
        <v>470</v>
      </c>
      <c r="G81" s="1" t="s">
        <v>1101</v>
      </c>
      <c r="H81" s="1" t="s">
        <v>1102</v>
      </c>
      <c r="I81" s="1" t="s">
        <v>1360</v>
      </c>
    </row>
    <row r="82" spans="1:9" x14ac:dyDescent="0.25">
      <c r="A82" s="1" t="s">
        <v>74</v>
      </c>
      <c r="B82" s="1" t="s">
        <v>590</v>
      </c>
      <c r="C82" s="2">
        <v>44256</v>
      </c>
      <c r="D82" s="6">
        <f>24</f>
        <v>24</v>
      </c>
      <c r="E82" s="6">
        <v>28.8</v>
      </c>
      <c r="F82" s="1" t="s">
        <v>470</v>
      </c>
      <c r="G82" s="1" t="s">
        <v>1101</v>
      </c>
      <c r="H82" s="1" t="s">
        <v>1102</v>
      </c>
      <c r="I82" s="1" t="s">
        <v>1361</v>
      </c>
    </row>
    <row r="83" spans="1:9" x14ac:dyDescent="0.25">
      <c r="A83" s="1" t="s">
        <v>75</v>
      </c>
      <c r="B83" s="1" t="s">
        <v>591</v>
      </c>
      <c r="C83" s="2">
        <v>44256</v>
      </c>
      <c r="D83" s="6">
        <f>35</f>
        <v>35</v>
      </c>
      <c r="E83" s="6">
        <v>42</v>
      </c>
      <c r="F83" s="1" t="s">
        <v>470</v>
      </c>
      <c r="G83" s="1" t="s">
        <v>1101</v>
      </c>
      <c r="H83" s="1" t="s">
        <v>1102</v>
      </c>
      <c r="I83" s="1" t="s">
        <v>1362</v>
      </c>
    </row>
    <row r="84" spans="1:9" x14ac:dyDescent="0.25">
      <c r="A84" s="1" t="s">
        <v>76</v>
      </c>
      <c r="B84" s="1" t="s">
        <v>592</v>
      </c>
      <c r="C84" s="2">
        <v>44256</v>
      </c>
      <c r="D84" s="6">
        <f>Tabuľka1383132[[#This Row],[Suma s DPH]]</f>
        <v>165</v>
      </c>
      <c r="E84" s="6">
        <v>165</v>
      </c>
      <c r="F84" s="1" t="s">
        <v>476</v>
      </c>
      <c r="G84" s="1" t="s">
        <v>1118</v>
      </c>
      <c r="H84" s="1" t="s">
        <v>1119</v>
      </c>
      <c r="I84" s="1" t="s">
        <v>1363</v>
      </c>
    </row>
    <row r="85" spans="1:9" x14ac:dyDescent="0.25">
      <c r="A85" s="1" t="s">
        <v>79</v>
      </c>
      <c r="B85" s="1" t="s">
        <v>595</v>
      </c>
      <c r="C85" s="2">
        <v>44258</v>
      </c>
      <c r="D85" s="6">
        <f>165.96</f>
        <v>165.96</v>
      </c>
      <c r="E85" s="6">
        <v>199.15</v>
      </c>
      <c r="F85" s="1" t="s">
        <v>466</v>
      </c>
      <c r="G85" s="1" t="s">
        <v>1105</v>
      </c>
      <c r="H85" s="1" t="s">
        <v>1106</v>
      </c>
      <c r="I85" s="1" t="s">
        <v>1364</v>
      </c>
    </row>
    <row r="86" spans="1:9" x14ac:dyDescent="0.25">
      <c r="A86" s="1" t="s">
        <v>98</v>
      </c>
      <c r="B86" s="1" t="s">
        <v>614</v>
      </c>
      <c r="C86" s="2">
        <v>44267</v>
      </c>
      <c r="D86" s="6">
        <f>Tabuľka1383132[[#This Row],[Suma s DPH]]</f>
        <v>16.5</v>
      </c>
      <c r="E86" s="6">
        <v>16.5</v>
      </c>
      <c r="F86" s="1" t="s">
        <v>469</v>
      </c>
      <c r="G86" s="4" t="s">
        <v>1100</v>
      </c>
      <c r="H86" s="4" t="s">
        <v>1100</v>
      </c>
      <c r="I86" s="1" t="s">
        <v>1940</v>
      </c>
    </row>
    <row r="87" spans="1:9" x14ac:dyDescent="0.25">
      <c r="A87" s="1" t="s">
        <v>99</v>
      </c>
      <c r="B87" s="1" t="s">
        <v>615</v>
      </c>
      <c r="C87" s="2">
        <v>44267</v>
      </c>
      <c r="D87" s="6">
        <f>Tabuľka1383132[[#This Row],[Suma s DPH]]</f>
        <v>16.5</v>
      </c>
      <c r="E87" s="6">
        <v>16.5</v>
      </c>
      <c r="F87" s="1" t="s">
        <v>469</v>
      </c>
      <c r="G87" s="4" t="s">
        <v>1100</v>
      </c>
      <c r="H87" s="4" t="s">
        <v>1100</v>
      </c>
      <c r="I87" s="1" t="s">
        <v>1940</v>
      </c>
    </row>
    <row r="88" spans="1:9" x14ac:dyDescent="0.25">
      <c r="A88" s="1" t="s">
        <v>114</v>
      </c>
      <c r="B88" s="1" t="s">
        <v>630</v>
      </c>
      <c r="C88" s="2">
        <v>44277</v>
      </c>
      <c r="D88" s="6">
        <f>Tabuľka1383132[[#This Row],[Suma s DPH]]</f>
        <v>170</v>
      </c>
      <c r="E88" s="6">
        <v>170</v>
      </c>
      <c r="F88" s="1" t="s">
        <v>469</v>
      </c>
      <c r="G88" s="4" t="s">
        <v>1100</v>
      </c>
      <c r="H88" s="4" t="s">
        <v>1100</v>
      </c>
      <c r="I88" s="1" t="s">
        <v>1940</v>
      </c>
    </row>
    <row r="89" spans="1:9" x14ac:dyDescent="0.25">
      <c r="A89" s="1" t="s">
        <v>115</v>
      </c>
      <c r="B89" s="1" t="s">
        <v>631</v>
      </c>
      <c r="C89" s="2">
        <v>44277</v>
      </c>
      <c r="D89" s="6">
        <f>Tabuľka1383132[[#This Row],[Suma s DPH]]</f>
        <v>31</v>
      </c>
      <c r="E89" s="6">
        <v>31</v>
      </c>
      <c r="F89" s="1" t="s">
        <v>469</v>
      </c>
      <c r="G89" s="4" t="s">
        <v>1100</v>
      </c>
      <c r="H89" s="4" t="s">
        <v>1100</v>
      </c>
      <c r="I89" s="1" t="s">
        <v>1940</v>
      </c>
    </row>
    <row r="90" spans="1:9" x14ac:dyDescent="0.25">
      <c r="A90" s="1" t="s">
        <v>116</v>
      </c>
      <c r="B90" s="1" t="s">
        <v>632</v>
      </c>
      <c r="C90" s="2">
        <v>44277</v>
      </c>
      <c r="D90" s="6">
        <f>Tabuľka1383132[[#This Row],[Suma s DPH]]</f>
        <v>36.5</v>
      </c>
      <c r="E90" s="6">
        <v>36.5</v>
      </c>
      <c r="F90" s="1" t="s">
        <v>469</v>
      </c>
      <c r="G90" s="4" t="s">
        <v>1100</v>
      </c>
      <c r="H90" s="4" t="s">
        <v>1100</v>
      </c>
      <c r="I90" s="1" t="s">
        <v>1940</v>
      </c>
    </row>
    <row r="91" spans="1:9" x14ac:dyDescent="0.25">
      <c r="A91" s="1" t="s">
        <v>117</v>
      </c>
      <c r="B91" s="1" t="s">
        <v>633</v>
      </c>
      <c r="C91" s="2">
        <v>44277</v>
      </c>
      <c r="D91" s="6">
        <f>Tabuľka1383132[[#This Row],[Suma s DPH]]</f>
        <v>167</v>
      </c>
      <c r="E91" s="6">
        <v>167</v>
      </c>
      <c r="F91" s="1" t="s">
        <v>469</v>
      </c>
      <c r="G91" s="4" t="s">
        <v>1100</v>
      </c>
      <c r="H91" s="4" t="s">
        <v>1100</v>
      </c>
      <c r="I91" s="1" t="s">
        <v>1940</v>
      </c>
    </row>
    <row r="92" spans="1:9" x14ac:dyDescent="0.25">
      <c r="A92" s="1" t="s">
        <v>80</v>
      </c>
      <c r="B92" s="1" t="s">
        <v>596</v>
      </c>
      <c r="C92" s="2">
        <v>44259</v>
      </c>
      <c r="D92" s="6">
        <f>779.25</f>
        <v>779.25</v>
      </c>
      <c r="E92" s="6">
        <v>935.1</v>
      </c>
      <c r="F92" s="1" t="s">
        <v>477</v>
      </c>
      <c r="G92" s="1" t="s">
        <v>1120</v>
      </c>
      <c r="H92" s="1" t="s">
        <v>1121</v>
      </c>
      <c r="I92" s="1" t="s">
        <v>992</v>
      </c>
    </row>
    <row r="93" spans="1:9" x14ac:dyDescent="0.25">
      <c r="A93" s="1" t="s">
        <v>86</v>
      </c>
      <c r="B93" s="1" t="s">
        <v>602</v>
      </c>
      <c r="C93" s="2">
        <v>44263</v>
      </c>
      <c r="D93" s="6">
        <f>16.5</f>
        <v>16.5</v>
      </c>
      <c r="E93" s="6">
        <v>19.8</v>
      </c>
      <c r="F93" s="1" t="s">
        <v>479</v>
      </c>
      <c r="G93" s="1" t="s">
        <v>1124</v>
      </c>
      <c r="H93" s="22" t="s">
        <v>1979</v>
      </c>
      <c r="I93" s="1" t="s">
        <v>1942</v>
      </c>
    </row>
    <row r="94" spans="1:9" x14ac:dyDescent="0.25">
      <c r="A94" s="1" t="s">
        <v>87</v>
      </c>
      <c r="B94" s="1" t="s">
        <v>603</v>
      </c>
      <c r="C94" s="2">
        <v>44263</v>
      </c>
      <c r="D94" s="6">
        <f>16.5</f>
        <v>16.5</v>
      </c>
      <c r="E94" s="6">
        <v>19.8</v>
      </c>
      <c r="F94" s="1" t="s">
        <v>479</v>
      </c>
      <c r="G94" s="1" t="s">
        <v>1124</v>
      </c>
      <c r="H94" s="22" t="s">
        <v>1979</v>
      </c>
      <c r="I94" s="1" t="s">
        <v>1942</v>
      </c>
    </row>
    <row r="95" spans="1:9" x14ac:dyDescent="0.25">
      <c r="A95" s="1" t="s">
        <v>88</v>
      </c>
      <c r="B95" s="1" t="s">
        <v>604</v>
      </c>
      <c r="C95" s="2">
        <v>44263</v>
      </c>
      <c r="D95" s="6">
        <f>16.5</f>
        <v>16.5</v>
      </c>
      <c r="E95" s="6">
        <v>19.8</v>
      </c>
      <c r="F95" s="1" t="s">
        <v>479</v>
      </c>
      <c r="G95" s="1" t="s">
        <v>1124</v>
      </c>
      <c r="H95" s="22" t="s">
        <v>1979</v>
      </c>
      <c r="I95" s="1" t="s">
        <v>1942</v>
      </c>
    </row>
    <row r="96" spans="1:9" x14ac:dyDescent="0.25">
      <c r="A96" s="1" t="s">
        <v>89</v>
      </c>
      <c r="B96" s="1" t="s">
        <v>605</v>
      </c>
      <c r="C96" s="2">
        <v>44263</v>
      </c>
      <c r="D96" s="6">
        <f>16.5</f>
        <v>16.5</v>
      </c>
      <c r="E96" s="6">
        <v>19.8</v>
      </c>
      <c r="F96" s="1" t="s">
        <v>479</v>
      </c>
      <c r="G96" s="1" t="s">
        <v>1124</v>
      </c>
      <c r="H96" s="22" t="s">
        <v>1979</v>
      </c>
      <c r="I96" s="1" t="s">
        <v>1942</v>
      </c>
    </row>
    <row r="97" spans="1:9" x14ac:dyDescent="0.25">
      <c r="A97" s="1" t="s">
        <v>90</v>
      </c>
      <c r="B97" s="1" t="s">
        <v>606</v>
      </c>
      <c r="C97" s="2">
        <v>44263</v>
      </c>
      <c r="D97" s="6">
        <f>16.5</f>
        <v>16.5</v>
      </c>
      <c r="E97" s="6">
        <v>19.8</v>
      </c>
      <c r="F97" s="1" t="s">
        <v>479</v>
      </c>
      <c r="G97" s="1" t="s">
        <v>1124</v>
      </c>
      <c r="H97" s="22" t="s">
        <v>1979</v>
      </c>
      <c r="I97" s="1" t="s">
        <v>1942</v>
      </c>
    </row>
    <row r="98" spans="1:9" x14ac:dyDescent="0.25">
      <c r="A98" s="1" t="s">
        <v>97</v>
      </c>
      <c r="B98" s="1" t="s">
        <v>613</v>
      </c>
      <c r="C98" s="2">
        <v>44266</v>
      </c>
      <c r="D98" s="6">
        <f>151.96</f>
        <v>151.96</v>
      </c>
      <c r="E98" s="6">
        <v>182.35</v>
      </c>
      <c r="F98" s="1" t="s">
        <v>472</v>
      </c>
      <c r="G98" s="1" t="s">
        <v>1151</v>
      </c>
      <c r="H98" s="1" t="s">
        <v>1093</v>
      </c>
      <c r="I98" s="1" t="s">
        <v>1369</v>
      </c>
    </row>
    <row r="99" spans="1:9" x14ac:dyDescent="0.25">
      <c r="A99" s="1" t="s">
        <v>100</v>
      </c>
      <c r="B99" s="1" t="s">
        <v>616</v>
      </c>
      <c r="C99" s="2">
        <v>44267</v>
      </c>
      <c r="D99" s="6">
        <f>Tabuľka1383132[[#This Row],[Suma s DPH]]/120*100</f>
        <v>4955.333333333333</v>
      </c>
      <c r="E99" s="6">
        <v>5946.4</v>
      </c>
      <c r="F99" s="1" t="s">
        <v>475</v>
      </c>
      <c r="G99" s="1" t="s">
        <v>1115</v>
      </c>
      <c r="H99" s="1" t="s">
        <v>1116</v>
      </c>
      <c r="I99" s="1" t="s">
        <v>1342</v>
      </c>
    </row>
    <row r="100" spans="1:9" x14ac:dyDescent="0.25">
      <c r="A100" s="1" t="s">
        <v>101</v>
      </c>
      <c r="B100" s="1" t="s">
        <v>617</v>
      </c>
      <c r="C100" s="2">
        <v>44270</v>
      </c>
      <c r="D100" s="6">
        <f>16.5</f>
        <v>16.5</v>
      </c>
      <c r="E100" s="6">
        <v>19.8</v>
      </c>
      <c r="F100" s="1" t="s">
        <v>479</v>
      </c>
      <c r="G100" s="1" t="s">
        <v>1124</v>
      </c>
      <c r="H100" s="22" t="s">
        <v>1196</v>
      </c>
      <c r="I100" s="1" t="s">
        <v>1942</v>
      </c>
    </row>
    <row r="101" spans="1:9" x14ac:dyDescent="0.25">
      <c r="A101" s="1" t="s">
        <v>102</v>
      </c>
      <c r="B101" s="1" t="s">
        <v>618</v>
      </c>
      <c r="C101" s="2">
        <v>44270</v>
      </c>
      <c r="D101" s="6">
        <f>16.5</f>
        <v>16.5</v>
      </c>
      <c r="E101" s="6">
        <v>19.8</v>
      </c>
      <c r="F101" s="1" t="s">
        <v>479</v>
      </c>
      <c r="G101" s="1" t="s">
        <v>1124</v>
      </c>
      <c r="H101" s="22" t="s">
        <v>1196</v>
      </c>
      <c r="I101" s="1" t="s">
        <v>1942</v>
      </c>
    </row>
    <row r="102" spans="1:9" x14ac:dyDescent="0.25">
      <c r="A102" s="1" t="s">
        <v>91</v>
      </c>
      <c r="B102" s="1" t="s">
        <v>607</v>
      </c>
      <c r="C102" s="2">
        <v>44263</v>
      </c>
      <c r="D102" s="10">
        <f>2142.28</f>
        <v>2142.2800000000002</v>
      </c>
      <c r="E102" s="10">
        <v>2570.7399999999998</v>
      </c>
      <c r="F102" s="1" t="s">
        <v>504</v>
      </c>
      <c r="G102" s="1" t="s">
        <v>1107</v>
      </c>
      <c r="H102" s="1" t="s">
        <v>1108</v>
      </c>
      <c r="I102" s="1" t="s">
        <v>1370</v>
      </c>
    </row>
    <row r="103" spans="1:9" x14ac:dyDescent="0.25">
      <c r="A103" s="1" t="s">
        <v>107</v>
      </c>
      <c r="B103" s="1" t="s">
        <v>623</v>
      </c>
      <c r="C103" s="2">
        <v>44274</v>
      </c>
      <c r="D103" s="6">
        <f>44.8</f>
        <v>44.8</v>
      </c>
      <c r="E103" s="6">
        <v>53.76</v>
      </c>
      <c r="F103" s="1" t="s">
        <v>470</v>
      </c>
      <c r="G103" s="1" t="s">
        <v>1101</v>
      </c>
      <c r="H103" s="1" t="s">
        <v>1102</v>
      </c>
      <c r="I103" s="1" t="s">
        <v>1371</v>
      </c>
    </row>
    <row r="104" spans="1:9" x14ac:dyDescent="0.25">
      <c r="A104" s="1" t="s">
        <v>108</v>
      </c>
      <c r="B104" s="1" t="s">
        <v>624</v>
      </c>
      <c r="C104" s="2">
        <v>44274</v>
      </c>
      <c r="D104" s="6">
        <f>97.5</f>
        <v>97.5</v>
      </c>
      <c r="E104" s="6">
        <v>117</v>
      </c>
      <c r="F104" s="1" t="s">
        <v>470</v>
      </c>
      <c r="G104" s="1" t="s">
        <v>1101</v>
      </c>
      <c r="H104" s="1" t="s">
        <v>1102</v>
      </c>
      <c r="I104" s="1" t="s">
        <v>1372</v>
      </c>
    </row>
    <row r="105" spans="1:9" x14ac:dyDescent="0.25">
      <c r="A105" s="1" t="s">
        <v>109</v>
      </c>
      <c r="B105" s="1" t="s">
        <v>625</v>
      </c>
      <c r="C105" s="2">
        <v>44274</v>
      </c>
      <c r="D105" s="6">
        <f>47.5</f>
        <v>47.5</v>
      </c>
      <c r="E105" s="6">
        <v>57</v>
      </c>
      <c r="F105" s="1" t="s">
        <v>470</v>
      </c>
      <c r="G105" s="1" t="s">
        <v>1101</v>
      </c>
      <c r="H105" s="1" t="s">
        <v>1102</v>
      </c>
      <c r="I105" s="1" t="s">
        <v>1372</v>
      </c>
    </row>
    <row r="106" spans="1:9" x14ac:dyDescent="0.25">
      <c r="A106" s="1" t="s">
        <v>110</v>
      </c>
      <c r="B106" s="1" t="s">
        <v>626</v>
      </c>
      <c r="C106" s="2">
        <v>44274</v>
      </c>
      <c r="D106" s="6">
        <f>52.9</f>
        <v>52.9</v>
      </c>
      <c r="E106" s="6">
        <v>63.48</v>
      </c>
      <c r="F106" s="1" t="s">
        <v>470</v>
      </c>
      <c r="G106" s="1" t="s">
        <v>1101</v>
      </c>
      <c r="H106" s="1" t="s">
        <v>1102</v>
      </c>
      <c r="I106" s="1" t="s">
        <v>1373</v>
      </c>
    </row>
    <row r="107" spans="1:9" x14ac:dyDescent="0.25">
      <c r="A107" s="1" t="s">
        <v>111</v>
      </c>
      <c r="B107" s="1" t="s">
        <v>627</v>
      </c>
      <c r="C107" s="2">
        <v>44274</v>
      </c>
      <c r="D107" s="6">
        <f>52.9</f>
        <v>52.9</v>
      </c>
      <c r="E107" s="6">
        <v>63.48</v>
      </c>
      <c r="F107" s="1" t="s">
        <v>470</v>
      </c>
      <c r="G107" s="1" t="s">
        <v>1101</v>
      </c>
      <c r="H107" s="1" t="s">
        <v>1102</v>
      </c>
      <c r="I107" s="1" t="s">
        <v>1374</v>
      </c>
    </row>
    <row r="108" spans="1:9" x14ac:dyDescent="0.25">
      <c r="A108" s="1" t="s">
        <v>112</v>
      </c>
      <c r="B108" s="1" t="s">
        <v>628</v>
      </c>
      <c r="C108" s="2">
        <v>44274</v>
      </c>
      <c r="D108" s="6">
        <f>35</f>
        <v>35</v>
      </c>
      <c r="E108" s="6">
        <v>42</v>
      </c>
      <c r="F108" s="1" t="s">
        <v>470</v>
      </c>
      <c r="G108" s="1" t="s">
        <v>1101</v>
      </c>
      <c r="H108" s="1" t="s">
        <v>1102</v>
      </c>
      <c r="I108" s="1" t="s">
        <v>1375</v>
      </c>
    </row>
    <row r="109" spans="1:9" x14ac:dyDescent="0.25">
      <c r="A109" s="1" t="s">
        <v>118</v>
      </c>
      <c r="B109" s="1" t="s">
        <v>634</v>
      </c>
      <c r="C109" s="2">
        <v>44277</v>
      </c>
      <c r="D109" s="6">
        <f>50.76</f>
        <v>50.76</v>
      </c>
      <c r="E109" s="6">
        <v>60.9</v>
      </c>
      <c r="F109" s="1" t="s">
        <v>467</v>
      </c>
      <c r="G109" s="1" t="s">
        <v>1099</v>
      </c>
      <c r="H109" s="1" t="s">
        <v>1117</v>
      </c>
      <c r="I109" s="1" t="s">
        <v>1296</v>
      </c>
    </row>
    <row r="110" spans="1:9" x14ac:dyDescent="0.25">
      <c r="A110" s="1" t="s">
        <v>92</v>
      </c>
      <c r="B110" s="1" t="s">
        <v>608</v>
      </c>
      <c r="C110" s="2">
        <v>44265</v>
      </c>
      <c r="D110" s="6">
        <f>1267.97</f>
        <v>1267.97</v>
      </c>
      <c r="E110" s="6">
        <v>1521.56</v>
      </c>
      <c r="F110" s="1" t="s">
        <v>468</v>
      </c>
      <c r="G110" s="1" t="s">
        <v>1098</v>
      </c>
      <c r="H110" s="7" t="s">
        <v>1602</v>
      </c>
      <c r="I110" s="1" t="s">
        <v>1376</v>
      </c>
    </row>
    <row r="111" spans="1:9" x14ac:dyDescent="0.25">
      <c r="A111" s="1" t="s">
        <v>93</v>
      </c>
      <c r="B111" s="1" t="s">
        <v>609</v>
      </c>
      <c r="C111" s="2">
        <v>44265</v>
      </c>
      <c r="D111" s="6">
        <f>12311.67</f>
        <v>12311.67</v>
      </c>
      <c r="E111" s="6">
        <v>14774</v>
      </c>
      <c r="F111" s="1" t="s">
        <v>468</v>
      </c>
      <c r="G111" s="1" t="s">
        <v>1098</v>
      </c>
      <c r="H111" s="7" t="s">
        <v>1108</v>
      </c>
      <c r="I111" s="1" t="s">
        <v>994</v>
      </c>
    </row>
    <row r="112" spans="1:9" x14ac:dyDescent="0.25">
      <c r="A112" s="1" t="s">
        <v>94</v>
      </c>
      <c r="B112" s="1" t="s">
        <v>610</v>
      </c>
      <c r="C112" s="2">
        <v>44265</v>
      </c>
      <c r="D112" s="6">
        <f>65.6</f>
        <v>65.599999999999994</v>
      </c>
      <c r="E112" s="6">
        <v>78.72</v>
      </c>
      <c r="F112" s="1" t="s">
        <v>468</v>
      </c>
      <c r="G112" s="1" t="s">
        <v>1098</v>
      </c>
      <c r="H112" s="7" t="s">
        <v>1108</v>
      </c>
      <c r="I112" s="1" t="s">
        <v>1377</v>
      </c>
    </row>
    <row r="113" spans="1:9" x14ac:dyDescent="0.25">
      <c r="A113" s="1" t="s">
        <v>95</v>
      </c>
      <c r="B113" s="1" t="s">
        <v>611</v>
      </c>
      <c r="C113" s="2">
        <v>44265</v>
      </c>
      <c r="D113" s="6">
        <f>1084.37</f>
        <v>1084.3699999999999</v>
      </c>
      <c r="E113" s="6">
        <v>1301.24</v>
      </c>
      <c r="F113" s="1" t="s">
        <v>468</v>
      </c>
      <c r="G113" s="1" t="s">
        <v>1098</v>
      </c>
      <c r="H113" s="7" t="s">
        <v>1108</v>
      </c>
      <c r="I113" s="1" t="s">
        <v>1378</v>
      </c>
    </row>
    <row r="114" spans="1:9" x14ac:dyDescent="0.25">
      <c r="A114" s="1" t="s">
        <v>96</v>
      </c>
      <c r="B114" s="1" t="s">
        <v>612</v>
      </c>
      <c r="C114" s="2">
        <v>44265</v>
      </c>
      <c r="D114" s="6">
        <f>37.28</f>
        <v>37.28</v>
      </c>
      <c r="E114" s="6">
        <v>37.28</v>
      </c>
      <c r="F114" s="1" t="s">
        <v>468</v>
      </c>
      <c r="G114" s="1" t="s">
        <v>1098</v>
      </c>
      <c r="H114" s="7" t="s">
        <v>1108</v>
      </c>
      <c r="I114" s="1" t="s">
        <v>1379</v>
      </c>
    </row>
    <row r="115" spans="1:9" x14ac:dyDescent="0.25">
      <c r="A115" s="1" t="s">
        <v>103</v>
      </c>
      <c r="B115" s="1" t="s">
        <v>619</v>
      </c>
      <c r="C115" s="2">
        <v>44270</v>
      </c>
      <c r="D115" s="6">
        <f>245.52</f>
        <v>245.52</v>
      </c>
      <c r="E115" s="6">
        <v>294.63</v>
      </c>
      <c r="F115" s="1" t="s">
        <v>468</v>
      </c>
      <c r="G115" s="1" t="s">
        <v>1098</v>
      </c>
      <c r="H115" s="7" t="s">
        <v>1108</v>
      </c>
      <c r="I115" s="1" t="s">
        <v>1380</v>
      </c>
    </row>
    <row r="116" spans="1:9" x14ac:dyDescent="0.25">
      <c r="A116" s="1" t="s">
        <v>104</v>
      </c>
      <c r="B116" s="1" t="s">
        <v>620</v>
      </c>
      <c r="C116" s="2">
        <v>44270</v>
      </c>
      <c r="D116" s="6">
        <f>12.83</f>
        <v>12.83</v>
      </c>
      <c r="E116" s="6">
        <v>15.4</v>
      </c>
      <c r="F116" s="1" t="s">
        <v>468</v>
      </c>
      <c r="G116" s="1" t="s">
        <v>1098</v>
      </c>
      <c r="H116" s="7" t="s">
        <v>1108</v>
      </c>
      <c r="I116" s="1" t="s">
        <v>1381</v>
      </c>
    </row>
    <row r="117" spans="1:9" x14ac:dyDescent="0.25">
      <c r="A117" s="1" t="s">
        <v>105</v>
      </c>
      <c r="B117" s="1" t="s">
        <v>621</v>
      </c>
      <c r="C117" s="2">
        <v>44270</v>
      </c>
      <c r="D117" s="6">
        <f>2328.93</f>
        <v>2328.9299999999998</v>
      </c>
      <c r="E117" s="6">
        <v>2794.72</v>
      </c>
      <c r="F117" s="1" t="s">
        <v>468</v>
      </c>
      <c r="G117" s="1" t="s">
        <v>1098</v>
      </c>
      <c r="H117" s="7" t="s">
        <v>1108</v>
      </c>
      <c r="I117" s="1" t="s">
        <v>1382</v>
      </c>
    </row>
    <row r="118" spans="1:9" x14ac:dyDescent="0.25">
      <c r="A118" s="1" t="s">
        <v>119</v>
      </c>
      <c r="B118" s="1" t="s">
        <v>635</v>
      </c>
      <c r="C118" s="2">
        <v>44277</v>
      </c>
      <c r="D118" s="29">
        <f>-798.26</f>
        <v>-798.26</v>
      </c>
      <c r="E118" s="29">
        <v>-957.91</v>
      </c>
      <c r="F118" s="1" t="s">
        <v>468</v>
      </c>
      <c r="G118" s="1" t="s">
        <v>1098</v>
      </c>
      <c r="H118" s="7" t="s">
        <v>1108</v>
      </c>
      <c r="I118" s="1" t="s">
        <v>1383</v>
      </c>
    </row>
    <row r="119" spans="1:9" x14ac:dyDescent="0.25">
      <c r="A119" s="1" t="s">
        <v>123</v>
      </c>
      <c r="B119" s="1" t="s">
        <v>639</v>
      </c>
      <c r="C119" s="2">
        <v>44280</v>
      </c>
      <c r="D119" s="6">
        <f>1302.52</f>
        <v>1302.52</v>
      </c>
      <c r="E119" s="6">
        <v>1563.02</v>
      </c>
      <c r="F119" s="1" t="s">
        <v>468</v>
      </c>
      <c r="G119" s="1" t="s">
        <v>1098</v>
      </c>
      <c r="H119" s="7" t="s">
        <v>1191</v>
      </c>
      <c r="I119" s="1" t="s">
        <v>1384</v>
      </c>
    </row>
    <row r="120" spans="1:9" x14ac:dyDescent="0.25">
      <c r="A120" s="1" t="s">
        <v>124</v>
      </c>
      <c r="B120" s="1" t="s">
        <v>640</v>
      </c>
      <c r="C120" s="2">
        <v>44280</v>
      </c>
      <c r="D120" s="6">
        <f>44.65</f>
        <v>44.65</v>
      </c>
      <c r="E120" s="6">
        <v>53.58</v>
      </c>
      <c r="F120" s="1" t="s">
        <v>468</v>
      </c>
      <c r="G120" s="1" t="s">
        <v>1098</v>
      </c>
      <c r="H120" s="7" t="s">
        <v>1191</v>
      </c>
      <c r="I120" s="1" t="s">
        <v>1385</v>
      </c>
    </row>
    <row r="121" spans="1:9" x14ac:dyDescent="0.25">
      <c r="A121" s="1" t="s">
        <v>125</v>
      </c>
      <c r="B121" s="1" t="s">
        <v>641</v>
      </c>
      <c r="C121" s="2">
        <v>44280</v>
      </c>
      <c r="D121" s="6">
        <f>61.54</f>
        <v>61.54</v>
      </c>
      <c r="E121" s="6">
        <v>73.849999999999994</v>
      </c>
      <c r="F121" s="1" t="s">
        <v>468</v>
      </c>
      <c r="G121" s="1" t="s">
        <v>1098</v>
      </c>
      <c r="H121" s="7" t="s">
        <v>1191</v>
      </c>
      <c r="I121" s="1" t="s">
        <v>1386</v>
      </c>
    </row>
    <row r="122" spans="1:9" x14ac:dyDescent="0.25">
      <c r="A122" s="1" t="s">
        <v>120</v>
      </c>
      <c r="B122" s="1" t="s">
        <v>636</v>
      </c>
      <c r="C122" s="2">
        <v>44277</v>
      </c>
      <c r="D122" s="29">
        <f>-1.22</f>
        <v>-1.22</v>
      </c>
      <c r="E122" s="29">
        <v>-1.47</v>
      </c>
      <c r="F122" s="1" t="s">
        <v>468</v>
      </c>
      <c r="G122" s="1" t="s">
        <v>1098</v>
      </c>
      <c r="H122" s="7" t="s">
        <v>1108</v>
      </c>
      <c r="I122" s="1" t="s">
        <v>1387</v>
      </c>
    </row>
    <row r="123" spans="1:9" x14ac:dyDescent="0.25">
      <c r="A123" s="1" t="s">
        <v>106</v>
      </c>
      <c r="B123" s="1" t="s">
        <v>622</v>
      </c>
      <c r="C123" s="2">
        <v>44270</v>
      </c>
      <c r="D123" s="6">
        <f>309.4</f>
        <v>309.39999999999998</v>
      </c>
      <c r="E123" s="6">
        <v>371.28</v>
      </c>
      <c r="F123" s="1" t="s">
        <v>468</v>
      </c>
      <c r="G123" s="1" t="s">
        <v>1098</v>
      </c>
      <c r="H123" s="7" t="s">
        <v>1108</v>
      </c>
      <c r="I123" s="1" t="s">
        <v>1261</v>
      </c>
    </row>
    <row r="124" spans="1:9" x14ac:dyDescent="0.25">
      <c r="A124" s="1" t="s">
        <v>121</v>
      </c>
      <c r="B124" s="1" t="s">
        <v>637</v>
      </c>
      <c r="C124" s="2">
        <v>44278</v>
      </c>
      <c r="D124" s="6">
        <f>3402.5</f>
        <v>3402.5</v>
      </c>
      <c r="E124" s="6">
        <v>4083</v>
      </c>
      <c r="F124" s="1" t="s">
        <v>468</v>
      </c>
      <c r="G124" s="1" t="s">
        <v>1098</v>
      </c>
      <c r="H124" s="7" t="s">
        <v>1108</v>
      </c>
      <c r="I124" s="1" t="s">
        <v>1388</v>
      </c>
    </row>
    <row r="125" spans="1:9" x14ac:dyDescent="0.25">
      <c r="A125" s="1" t="s">
        <v>122</v>
      </c>
      <c r="B125" s="1" t="s">
        <v>638</v>
      </c>
      <c r="C125" s="2">
        <v>44279</v>
      </c>
      <c r="D125" s="6">
        <f>20.83</f>
        <v>20.83</v>
      </c>
      <c r="E125" s="6">
        <v>25</v>
      </c>
      <c r="F125" s="1" t="s">
        <v>468</v>
      </c>
      <c r="G125" s="1" t="s">
        <v>1098</v>
      </c>
      <c r="H125" s="7" t="s">
        <v>1108</v>
      </c>
      <c r="I125" s="1" t="s">
        <v>1389</v>
      </c>
    </row>
    <row r="126" spans="1:9" x14ac:dyDescent="0.25">
      <c r="A126" s="1" t="s">
        <v>113</v>
      </c>
      <c r="B126" s="1" t="s">
        <v>629</v>
      </c>
      <c r="C126" s="2">
        <v>44274</v>
      </c>
      <c r="D126" s="6">
        <f>182.5</f>
        <v>182.5</v>
      </c>
      <c r="E126" s="6">
        <v>219</v>
      </c>
      <c r="F126" s="1" t="s">
        <v>480</v>
      </c>
      <c r="G126" s="1" t="s">
        <v>1125</v>
      </c>
      <c r="H126" s="7" t="s">
        <v>1181</v>
      </c>
      <c r="I126" s="1" t="s">
        <v>1390</v>
      </c>
    </row>
    <row r="127" spans="1:9" x14ac:dyDescent="0.25">
      <c r="A127" s="1" t="s">
        <v>77</v>
      </c>
      <c r="B127" s="1" t="s">
        <v>593</v>
      </c>
      <c r="C127" s="2">
        <v>44256</v>
      </c>
      <c r="D127" s="6">
        <f>1973.69</f>
        <v>1973.69</v>
      </c>
      <c r="E127" s="6">
        <v>2368.4299999999998</v>
      </c>
      <c r="F127" s="1" t="s">
        <v>470</v>
      </c>
      <c r="G127" s="1" t="s">
        <v>1101</v>
      </c>
      <c r="H127" s="1" t="s">
        <v>1102</v>
      </c>
      <c r="I127" s="1" t="s">
        <v>1327</v>
      </c>
    </row>
    <row r="128" spans="1:9" x14ac:dyDescent="0.25">
      <c r="A128" s="1" t="s">
        <v>126</v>
      </c>
      <c r="B128" s="1" t="s">
        <v>642</v>
      </c>
      <c r="C128" s="2">
        <v>44281</v>
      </c>
      <c r="D128" s="6">
        <f>567</f>
        <v>567</v>
      </c>
      <c r="E128" s="6">
        <v>680.4</v>
      </c>
      <c r="F128" s="1" t="s">
        <v>481</v>
      </c>
      <c r="G128" s="1" t="s">
        <v>1126</v>
      </c>
      <c r="H128" s="1" t="s">
        <v>1127</v>
      </c>
      <c r="I128" s="1" t="s">
        <v>1391</v>
      </c>
    </row>
    <row r="129" spans="1:9" x14ac:dyDescent="0.25">
      <c r="A129" s="1" t="s">
        <v>127</v>
      </c>
      <c r="B129" s="1" t="s">
        <v>643</v>
      </c>
      <c r="C129" s="2">
        <v>44284</v>
      </c>
      <c r="D129" s="6">
        <f>Tabuľka1383132[[#This Row],[Suma s DPH]]</f>
        <v>2450</v>
      </c>
      <c r="E129" s="6">
        <v>2450</v>
      </c>
      <c r="F129" s="1" t="s">
        <v>482</v>
      </c>
      <c r="G129" s="7" t="s">
        <v>1128</v>
      </c>
      <c r="H129" s="7" t="s">
        <v>1108</v>
      </c>
      <c r="I129" s="1" t="s">
        <v>1392</v>
      </c>
    </row>
    <row r="130" spans="1:9" x14ac:dyDescent="0.25">
      <c r="A130" s="1" t="s">
        <v>128</v>
      </c>
      <c r="B130" s="1" t="s">
        <v>644</v>
      </c>
      <c r="C130" s="2">
        <v>44285</v>
      </c>
      <c r="D130" s="6">
        <f>Tabuľka1383132[[#This Row],[Suma s DPH]]</f>
        <v>206</v>
      </c>
      <c r="E130" s="6">
        <v>206</v>
      </c>
      <c r="F130" s="1" t="s">
        <v>469</v>
      </c>
      <c r="G130" s="4" t="s">
        <v>1100</v>
      </c>
      <c r="H130" s="4" t="s">
        <v>1100</v>
      </c>
      <c r="I130" s="1" t="s">
        <v>1393</v>
      </c>
    </row>
    <row r="131" spans="1:9" x14ac:dyDescent="0.25">
      <c r="A131" s="1" t="s">
        <v>129</v>
      </c>
      <c r="B131" s="1" t="s">
        <v>645</v>
      </c>
      <c r="C131" s="2">
        <v>44285</v>
      </c>
      <c r="D131" s="6">
        <f>Tabuľka1383132[[#This Row],[Suma s DPH]]</f>
        <v>357.5</v>
      </c>
      <c r="E131" s="6">
        <v>357.5</v>
      </c>
      <c r="F131" s="1" t="s">
        <v>469</v>
      </c>
      <c r="G131" s="4" t="s">
        <v>1100</v>
      </c>
      <c r="H131" s="4" t="s">
        <v>1100</v>
      </c>
      <c r="I131" s="1" t="s">
        <v>1393</v>
      </c>
    </row>
    <row r="132" spans="1:9" x14ac:dyDescent="0.25">
      <c r="A132" s="1" t="s">
        <v>130</v>
      </c>
      <c r="B132" s="1" t="s">
        <v>646</v>
      </c>
      <c r="C132" s="2">
        <v>44285</v>
      </c>
      <c r="D132" s="6">
        <f>Tabuľka1383132[[#This Row],[Suma s DPH]]</f>
        <v>676.5</v>
      </c>
      <c r="E132" s="6">
        <v>676.5</v>
      </c>
      <c r="F132" s="1" t="s">
        <v>469</v>
      </c>
      <c r="G132" s="4" t="s">
        <v>1100</v>
      </c>
      <c r="H132" s="4" t="s">
        <v>1100</v>
      </c>
      <c r="I132" s="1" t="s">
        <v>1393</v>
      </c>
    </row>
    <row r="133" spans="1:9" x14ac:dyDescent="0.25">
      <c r="A133" s="1" t="s">
        <v>131</v>
      </c>
      <c r="B133" s="1" t="s">
        <v>647</v>
      </c>
      <c r="C133" s="2">
        <v>44285</v>
      </c>
      <c r="D133" s="6">
        <f>Tabuľka1383132[[#This Row],[Suma s DPH]]</f>
        <v>19.5</v>
      </c>
      <c r="E133" s="6">
        <v>19.5</v>
      </c>
      <c r="F133" s="1" t="s">
        <v>469</v>
      </c>
      <c r="G133" s="4" t="s">
        <v>1100</v>
      </c>
      <c r="H133" s="4" t="s">
        <v>1100</v>
      </c>
      <c r="I133" s="1" t="s">
        <v>1940</v>
      </c>
    </row>
    <row r="134" spans="1:9" x14ac:dyDescent="0.25">
      <c r="A134" s="1" t="s">
        <v>132</v>
      </c>
      <c r="B134" s="1" t="s">
        <v>648</v>
      </c>
      <c r="C134" s="2">
        <v>44285</v>
      </c>
      <c r="D134" s="6">
        <f>Tabuľka1383132[[#This Row],[Suma s DPH]]</f>
        <v>49.5</v>
      </c>
      <c r="E134" s="6">
        <v>49.5</v>
      </c>
      <c r="F134" s="1" t="s">
        <v>469</v>
      </c>
      <c r="G134" s="4" t="s">
        <v>1100</v>
      </c>
      <c r="H134" s="4" t="s">
        <v>1100</v>
      </c>
      <c r="I134" s="1" t="s">
        <v>1940</v>
      </c>
    </row>
    <row r="135" spans="1:9" x14ac:dyDescent="0.25">
      <c r="A135" s="1" t="s">
        <v>133</v>
      </c>
      <c r="B135" s="1" t="s">
        <v>649</v>
      </c>
      <c r="C135" s="2">
        <v>44285</v>
      </c>
      <c r="D135" s="6">
        <f>Tabuľka1383132[[#This Row],[Suma s DPH]]</f>
        <v>36</v>
      </c>
      <c r="E135" s="6">
        <v>36</v>
      </c>
      <c r="F135" s="1" t="s">
        <v>469</v>
      </c>
      <c r="G135" s="4" t="s">
        <v>1100</v>
      </c>
      <c r="H135" s="4" t="s">
        <v>1100</v>
      </c>
      <c r="I135" s="1" t="s">
        <v>1940</v>
      </c>
    </row>
    <row r="136" spans="1:9" x14ac:dyDescent="0.25">
      <c r="A136" s="1" t="s">
        <v>134</v>
      </c>
      <c r="B136" s="1" t="s">
        <v>650</v>
      </c>
      <c r="C136" s="2">
        <v>44285</v>
      </c>
      <c r="D136" s="6">
        <f>Tabuľka1383132[[#This Row],[Suma s DPH]]</f>
        <v>49.5</v>
      </c>
      <c r="E136" s="6">
        <v>49.5</v>
      </c>
      <c r="F136" s="1" t="s">
        <v>469</v>
      </c>
      <c r="G136" s="4" t="s">
        <v>1100</v>
      </c>
      <c r="H136" s="4" t="s">
        <v>1100</v>
      </c>
      <c r="I136" s="1" t="s">
        <v>1940</v>
      </c>
    </row>
    <row r="137" spans="1:9" x14ac:dyDescent="0.25">
      <c r="A137" s="1" t="s">
        <v>135</v>
      </c>
      <c r="B137" s="1" t="s">
        <v>651</v>
      </c>
      <c r="C137" s="2">
        <v>44286</v>
      </c>
      <c r="D137" s="12">
        <f>Tabuľka1383132[[#This Row],[Suma s DPH]]/1.2</f>
        <v>66.5</v>
      </c>
      <c r="E137" s="12">
        <v>79.8</v>
      </c>
      <c r="F137" s="1" t="s">
        <v>483</v>
      </c>
      <c r="G137" s="26">
        <v>35739487</v>
      </c>
      <c r="H137" s="7" t="s">
        <v>1197</v>
      </c>
      <c r="I137" s="1" t="s">
        <v>1394</v>
      </c>
    </row>
    <row r="138" spans="1:9" x14ac:dyDescent="0.25">
      <c r="A138" s="1" t="s">
        <v>139</v>
      </c>
      <c r="B138" s="1" t="s">
        <v>655</v>
      </c>
      <c r="C138" s="2">
        <v>44287</v>
      </c>
      <c r="D138" s="6">
        <f>Tabuľka1383132[[#This Row],[Suma s DPH]]</f>
        <v>22.5</v>
      </c>
      <c r="E138" s="6">
        <v>22.5</v>
      </c>
      <c r="F138" s="1" t="s">
        <v>469</v>
      </c>
      <c r="G138" s="4" t="s">
        <v>1100</v>
      </c>
      <c r="H138" s="4" t="s">
        <v>1100</v>
      </c>
      <c r="I138" s="1" t="s">
        <v>1940</v>
      </c>
    </row>
    <row r="139" spans="1:9" x14ac:dyDescent="0.25">
      <c r="A139" s="1" t="s">
        <v>140</v>
      </c>
      <c r="B139" s="1" t="s">
        <v>656</v>
      </c>
      <c r="C139" s="2">
        <v>44287</v>
      </c>
      <c r="D139" s="6">
        <f>Tabuľka1383132[[#This Row],[Suma s DPH]]</f>
        <v>49.5</v>
      </c>
      <c r="E139" s="6">
        <v>49.5</v>
      </c>
      <c r="F139" s="1" t="s">
        <v>469</v>
      </c>
      <c r="G139" s="4" t="s">
        <v>1100</v>
      </c>
      <c r="H139" s="4" t="s">
        <v>1100</v>
      </c>
      <c r="I139" s="1" t="s">
        <v>1940</v>
      </c>
    </row>
    <row r="140" spans="1:9" x14ac:dyDescent="0.25">
      <c r="A140" s="1" t="s">
        <v>141</v>
      </c>
      <c r="B140" s="1" t="s">
        <v>657</v>
      </c>
      <c r="C140" s="2">
        <v>44287</v>
      </c>
      <c r="D140" s="6">
        <f>Tabuľka1383132[[#This Row],[Suma s DPH]]</f>
        <v>49.5</v>
      </c>
      <c r="E140" s="6">
        <v>49.5</v>
      </c>
      <c r="F140" s="1" t="s">
        <v>469</v>
      </c>
      <c r="G140" s="4" t="s">
        <v>1100</v>
      </c>
      <c r="H140" s="4" t="s">
        <v>1100</v>
      </c>
      <c r="I140" s="1" t="s">
        <v>1940</v>
      </c>
    </row>
    <row r="141" spans="1:9" x14ac:dyDescent="0.25">
      <c r="A141" s="1" t="s">
        <v>142</v>
      </c>
      <c r="B141" s="1" t="s">
        <v>658</v>
      </c>
      <c r="C141" s="2">
        <v>44287</v>
      </c>
      <c r="D141" s="6">
        <f>Tabuľka1383132[[#This Row],[Suma s DPH]]</f>
        <v>21.5</v>
      </c>
      <c r="E141" s="6">
        <v>21.5</v>
      </c>
      <c r="F141" s="1" t="s">
        <v>469</v>
      </c>
      <c r="G141" s="4" t="s">
        <v>1100</v>
      </c>
      <c r="H141" s="4" t="s">
        <v>1100</v>
      </c>
      <c r="I141" s="1" t="s">
        <v>1940</v>
      </c>
    </row>
    <row r="142" spans="1:9" x14ac:dyDescent="0.25">
      <c r="A142" s="1" t="s">
        <v>144</v>
      </c>
      <c r="B142" s="1" t="s">
        <v>660</v>
      </c>
      <c r="C142" s="2">
        <v>44292</v>
      </c>
      <c r="D142" s="6">
        <f>72.42</f>
        <v>72.42</v>
      </c>
      <c r="E142" s="6">
        <v>86.9</v>
      </c>
      <c r="F142" s="1" t="s">
        <v>485</v>
      </c>
      <c r="G142" s="1" t="s">
        <v>1129</v>
      </c>
      <c r="H142" s="4" t="s">
        <v>1100</v>
      </c>
      <c r="I142" s="1" t="s">
        <v>1943</v>
      </c>
    </row>
    <row r="143" spans="1:9" x14ac:dyDescent="0.25">
      <c r="A143" s="1" t="s">
        <v>143</v>
      </c>
      <c r="B143" s="1" t="s">
        <v>659</v>
      </c>
      <c r="C143" s="2">
        <v>44287</v>
      </c>
      <c r="D143" s="6">
        <f>162.7</f>
        <v>162.69999999999999</v>
      </c>
      <c r="E143" s="6">
        <v>195.24</v>
      </c>
      <c r="F143" s="1" t="s">
        <v>468</v>
      </c>
      <c r="G143" s="1" t="s">
        <v>1098</v>
      </c>
      <c r="H143" s="7" t="s">
        <v>1191</v>
      </c>
      <c r="I143" s="1" t="s">
        <v>1395</v>
      </c>
    </row>
    <row r="144" spans="1:9" x14ac:dyDescent="0.25">
      <c r="A144" s="1" t="s">
        <v>145</v>
      </c>
      <c r="B144" s="1" t="s">
        <v>661</v>
      </c>
      <c r="C144" s="2">
        <v>44293</v>
      </c>
      <c r="D144" s="6">
        <f>19089</f>
        <v>19089</v>
      </c>
      <c r="E144" s="6">
        <v>22906.799999999999</v>
      </c>
      <c r="F144" s="1" t="s">
        <v>468</v>
      </c>
      <c r="G144" s="1" t="s">
        <v>1098</v>
      </c>
      <c r="H144" s="1" t="s">
        <v>1189</v>
      </c>
      <c r="I144" s="1" t="s">
        <v>1305</v>
      </c>
    </row>
    <row r="145" spans="1:9" x14ac:dyDescent="0.25">
      <c r="A145" s="1" t="s">
        <v>146</v>
      </c>
      <c r="B145" s="1" t="s">
        <v>662</v>
      </c>
      <c r="C145" s="2">
        <v>44293</v>
      </c>
      <c r="D145" s="6">
        <f>700</f>
        <v>700</v>
      </c>
      <c r="E145" s="6">
        <v>840</v>
      </c>
      <c r="F145" s="1" t="s">
        <v>468</v>
      </c>
      <c r="G145" s="1" t="s">
        <v>1098</v>
      </c>
      <c r="H145" s="1" t="s">
        <v>1189</v>
      </c>
      <c r="I145" s="1" t="s">
        <v>1310</v>
      </c>
    </row>
    <row r="146" spans="1:9" x14ac:dyDescent="0.25">
      <c r="A146" s="1" t="s">
        <v>147</v>
      </c>
      <c r="B146" s="1" t="s">
        <v>663</v>
      </c>
      <c r="C146" s="2">
        <v>44293</v>
      </c>
      <c r="D146" s="6">
        <f>160</f>
        <v>160</v>
      </c>
      <c r="E146" s="6">
        <v>192</v>
      </c>
      <c r="F146" s="1" t="s">
        <v>468</v>
      </c>
      <c r="G146" s="1" t="s">
        <v>1098</v>
      </c>
      <c r="H146" s="1" t="s">
        <v>1189</v>
      </c>
      <c r="I146" s="1" t="s">
        <v>1318</v>
      </c>
    </row>
    <row r="147" spans="1:9" x14ac:dyDescent="0.25">
      <c r="A147" s="1" t="s">
        <v>148</v>
      </c>
      <c r="B147" s="1" t="s">
        <v>664</v>
      </c>
      <c r="C147" s="2">
        <v>44293</v>
      </c>
      <c r="D147" s="6">
        <f>112</f>
        <v>112</v>
      </c>
      <c r="E147" s="6">
        <v>134.4</v>
      </c>
      <c r="F147" s="1" t="s">
        <v>468</v>
      </c>
      <c r="G147" s="1" t="s">
        <v>1098</v>
      </c>
      <c r="H147" s="1" t="s">
        <v>1189</v>
      </c>
      <c r="I147" s="1" t="s">
        <v>1314</v>
      </c>
    </row>
    <row r="148" spans="1:9" x14ac:dyDescent="0.25">
      <c r="A148" s="1" t="s">
        <v>149</v>
      </c>
      <c r="B148" s="1" t="s">
        <v>665</v>
      </c>
      <c r="C148" s="2">
        <v>44293</v>
      </c>
      <c r="D148" s="6">
        <f>24</f>
        <v>24</v>
      </c>
      <c r="E148" s="6">
        <v>28.8</v>
      </c>
      <c r="F148" s="1" t="s">
        <v>468</v>
      </c>
      <c r="G148" s="1" t="s">
        <v>1098</v>
      </c>
      <c r="H148" s="1" t="s">
        <v>1189</v>
      </c>
      <c r="I148" s="1" t="s">
        <v>1321</v>
      </c>
    </row>
    <row r="149" spans="1:9" x14ac:dyDescent="0.25">
      <c r="A149" s="1" t="s">
        <v>150</v>
      </c>
      <c r="B149" s="1" t="s">
        <v>666</v>
      </c>
      <c r="C149" s="2">
        <v>44293</v>
      </c>
      <c r="D149" s="6">
        <f>14514.17</f>
        <v>14514.17</v>
      </c>
      <c r="E149" s="6">
        <v>17417</v>
      </c>
      <c r="F149" s="1" t="s">
        <v>468</v>
      </c>
      <c r="G149" s="1" t="s">
        <v>1098</v>
      </c>
      <c r="H149" s="1" t="s">
        <v>1190</v>
      </c>
      <c r="I149" s="1" t="s">
        <v>995</v>
      </c>
    </row>
    <row r="150" spans="1:9" x14ac:dyDescent="0.25">
      <c r="A150" s="1" t="s">
        <v>151</v>
      </c>
      <c r="B150" s="1" t="s">
        <v>667</v>
      </c>
      <c r="C150" s="2">
        <v>44293</v>
      </c>
      <c r="D150" s="6">
        <f>10160</f>
        <v>10160</v>
      </c>
      <c r="E150" s="6">
        <v>12192</v>
      </c>
      <c r="F150" s="1" t="s">
        <v>468</v>
      </c>
      <c r="G150" s="1" t="s">
        <v>1098</v>
      </c>
      <c r="H150" s="1" t="s">
        <v>1190</v>
      </c>
      <c r="I150" s="1" t="s">
        <v>1324</v>
      </c>
    </row>
    <row r="151" spans="1:9" x14ac:dyDescent="0.25">
      <c r="A151" s="1" t="s">
        <v>152</v>
      </c>
      <c r="B151" s="1" t="s">
        <v>668</v>
      </c>
      <c r="C151" s="2">
        <v>44293</v>
      </c>
      <c r="D151" s="6">
        <f>2177.22</f>
        <v>2177.2199999999998</v>
      </c>
      <c r="E151" s="6">
        <v>2612.66</v>
      </c>
      <c r="F151" s="1" t="s">
        <v>468</v>
      </c>
      <c r="G151" s="1" t="s">
        <v>1098</v>
      </c>
      <c r="H151" s="1" t="s">
        <v>1190</v>
      </c>
      <c r="I151" s="1" t="s">
        <v>996</v>
      </c>
    </row>
    <row r="152" spans="1:9" x14ac:dyDescent="0.25">
      <c r="A152" s="1" t="s">
        <v>153</v>
      </c>
      <c r="B152" s="1" t="s">
        <v>669</v>
      </c>
      <c r="C152" s="2">
        <v>44293</v>
      </c>
      <c r="D152" s="6">
        <f>1973.69</f>
        <v>1973.69</v>
      </c>
      <c r="E152" s="6">
        <v>2368.4299999999998</v>
      </c>
      <c r="F152" s="1" t="s">
        <v>470</v>
      </c>
      <c r="G152" s="1" t="s">
        <v>1101</v>
      </c>
      <c r="H152" s="1" t="s">
        <v>1102</v>
      </c>
      <c r="I152" s="1" t="s">
        <v>1328</v>
      </c>
    </row>
    <row r="153" spans="1:9" x14ac:dyDescent="0.25">
      <c r="A153" s="1" t="s">
        <v>154</v>
      </c>
      <c r="B153" s="1" t="s">
        <v>670</v>
      </c>
      <c r="C153" s="2">
        <v>44293</v>
      </c>
      <c r="D153" s="29">
        <f>-17144.2</f>
        <v>-17144.2</v>
      </c>
      <c r="E153" s="29">
        <v>-20573.04</v>
      </c>
      <c r="F153" s="1" t="s">
        <v>468</v>
      </c>
      <c r="G153" s="1" t="s">
        <v>1098</v>
      </c>
      <c r="H153" s="1" t="s">
        <v>1190</v>
      </c>
      <c r="I153" s="1" t="s">
        <v>997</v>
      </c>
    </row>
    <row r="154" spans="1:9" x14ac:dyDescent="0.25">
      <c r="A154" s="1" t="s">
        <v>155</v>
      </c>
      <c r="B154" s="1" t="s">
        <v>671</v>
      </c>
      <c r="C154" s="2">
        <v>44293</v>
      </c>
      <c r="D154" s="29">
        <f>-11885</f>
        <v>-11885</v>
      </c>
      <c r="E154" s="29">
        <v>-14262</v>
      </c>
      <c r="F154" s="1" t="s">
        <v>468</v>
      </c>
      <c r="G154" s="1" t="s">
        <v>1098</v>
      </c>
      <c r="H154" s="1" t="s">
        <v>1190</v>
      </c>
      <c r="I154" s="1" t="s">
        <v>998</v>
      </c>
    </row>
    <row r="155" spans="1:9" x14ac:dyDescent="0.25">
      <c r="A155" s="1" t="s">
        <v>156</v>
      </c>
      <c r="B155" s="1" t="s">
        <v>672</v>
      </c>
      <c r="C155" s="2">
        <v>44293</v>
      </c>
      <c r="D155" s="29">
        <f>-2928.3</f>
        <v>-2928.3</v>
      </c>
      <c r="E155" s="29">
        <v>-3513.96</v>
      </c>
      <c r="F155" s="1" t="s">
        <v>468</v>
      </c>
      <c r="G155" s="1" t="s">
        <v>1098</v>
      </c>
      <c r="H155" s="1" t="s">
        <v>1190</v>
      </c>
      <c r="I155" s="1" t="s">
        <v>999</v>
      </c>
    </row>
    <row r="156" spans="1:9" x14ac:dyDescent="0.25">
      <c r="A156" s="1" t="s">
        <v>157</v>
      </c>
      <c r="B156" s="1" t="s">
        <v>673</v>
      </c>
      <c r="C156" s="2">
        <v>44293</v>
      </c>
      <c r="D156" s="6">
        <f>1205</f>
        <v>1205</v>
      </c>
      <c r="E156" s="6">
        <v>1446</v>
      </c>
      <c r="F156" s="1" t="s">
        <v>468</v>
      </c>
      <c r="G156" s="1" t="s">
        <v>1098</v>
      </c>
      <c r="H156" s="7" t="s">
        <v>1108</v>
      </c>
      <c r="I156" s="1" t="s">
        <v>1396</v>
      </c>
    </row>
    <row r="157" spans="1:9" x14ac:dyDescent="0.25">
      <c r="A157" s="1" t="s">
        <v>158</v>
      </c>
      <c r="B157" s="1" t="s">
        <v>674</v>
      </c>
      <c r="C157" s="2">
        <v>44293</v>
      </c>
      <c r="D157" s="6">
        <f>165.96</f>
        <v>165.96</v>
      </c>
      <c r="E157" s="6">
        <v>199.15</v>
      </c>
      <c r="F157" s="1" t="s">
        <v>466</v>
      </c>
      <c r="G157" s="1" t="s">
        <v>1105</v>
      </c>
      <c r="H157" s="1" t="s">
        <v>1106</v>
      </c>
      <c r="I157" s="1" t="s">
        <v>1365</v>
      </c>
    </row>
    <row r="158" spans="1:9" x14ac:dyDescent="0.25">
      <c r="A158" s="1" t="s">
        <v>159</v>
      </c>
      <c r="B158" s="1" t="s">
        <v>675</v>
      </c>
      <c r="C158" s="2">
        <v>44300</v>
      </c>
      <c r="D158" s="6">
        <f>69</f>
        <v>69</v>
      </c>
      <c r="E158" s="6">
        <v>82.8</v>
      </c>
      <c r="F158" s="1" t="s">
        <v>472</v>
      </c>
      <c r="G158" s="1" t="s">
        <v>1151</v>
      </c>
      <c r="H158" s="1" t="s">
        <v>1094</v>
      </c>
      <c r="I158" s="1" t="s">
        <v>1397</v>
      </c>
    </row>
    <row r="159" spans="1:9" x14ac:dyDescent="0.25">
      <c r="A159" s="1" t="s">
        <v>161</v>
      </c>
      <c r="B159" s="1" t="s">
        <v>677</v>
      </c>
      <c r="C159" s="2">
        <v>44305</v>
      </c>
      <c r="D159" s="29">
        <f>-308.16</f>
        <v>-308.16000000000003</v>
      </c>
      <c r="E159" s="29">
        <v>-642</v>
      </c>
      <c r="F159" s="1" t="s">
        <v>471</v>
      </c>
      <c r="G159" s="1" t="s">
        <v>1103</v>
      </c>
      <c r="H159" s="1" t="s">
        <v>1104</v>
      </c>
      <c r="I159" s="1" t="s">
        <v>1000</v>
      </c>
    </row>
    <row r="160" spans="1:9" x14ac:dyDescent="0.25">
      <c r="A160" s="1" t="s">
        <v>162</v>
      </c>
      <c r="B160" s="1" t="s">
        <v>678</v>
      </c>
      <c r="C160" s="2">
        <v>44305</v>
      </c>
      <c r="D160" s="6">
        <f>Tabuľka1383132[[#This Row],[Suma s DPH]]</f>
        <v>28.5</v>
      </c>
      <c r="E160" s="6">
        <v>28.5</v>
      </c>
      <c r="F160" s="1" t="s">
        <v>469</v>
      </c>
      <c r="G160" s="4" t="s">
        <v>1100</v>
      </c>
      <c r="H160" s="4" t="s">
        <v>1100</v>
      </c>
      <c r="I160" s="1" t="s">
        <v>1940</v>
      </c>
    </row>
    <row r="161" spans="1:9" x14ac:dyDescent="0.25">
      <c r="A161" s="1" t="s">
        <v>163</v>
      </c>
      <c r="B161" s="1" t="s">
        <v>679</v>
      </c>
      <c r="C161" s="2">
        <v>44305</v>
      </c>
      <c r="D161" s="6">
        <f>Tabuľka1383132[[#This Row],[Suma s DPH]]</f>
        <v>49.5</v>
      </c>
      <c r="E161" s="6">
        <v>49.5</v>
      </c>
      <c r="F161" s="1" t="s">
        <v>469</v>
      </c>
      <c r="G161" s="4" t="s">
        <v>1100</v>
      </c>
      <c r="H161" s="4" t="s">
        <v>1100</v>
      </c>
      <c r="I161" s="1" t="s">
        <v>1940</v>
      </c>
    </row>
    <row r="162" spans="1:9" x14ac:dyDescent="0.25">
      <c r="A162" s="1" t="s">
        <v>164</v>
      </c>
      <c r="B162" s="1" t="s">
        <v>680</v>
      </c>
      <c r="C162" s="2">
        <v>44305</v>
      </c>
      <c r="D162" s="6">
        <f>Tabuľka1383132[[#This Row],[Suma s DPH]]</f>
        <v>49.5</v>
      </c>
      <c r="E162" s="6">
        <v>49.5</v>
      </c>
      <c r="F162" s="1" t="s">
        <v>469</v>
      </c>
      <c r="G162" s="4" t="s">
        <v>1100</v>
      </c>
      <c r="H162" s="4" t="s">
        <v>1100</v>
      </c>
      <c r="I162" s="1" t="s">
        <v>1940</v>
      </c>
    </row>
    <row r="163" spans="1:9" x14ac:dyDescent="0.25">
      <c r="A163" s="1" t="s">
        <v>165</v>
      </c>
      <c r="B163" s="1" t="s">
        <v>681</v>
      </c>
      <c r="C163" s="2">
        <v>44305</v>
      </c>
      <c r="D163" s="6">
        <f>Tabuľka1383132[[#This Row],[Suma s DPH]]</f>
        <v>75.5</v>
      </c>
      <c r="E163" s="6">
        <v>75.5</v>
      </c>
      <c r="F163" s="1" t="s">
        <v>469</v>
      </c>
      <c r="G163" s="4" t="s">
        <v>1100</v>
      </c>
      <c r="H163" s="4" t="s">
        <v>1100</v>
      </c>
      <c r="I163" s="1" t="s">
        <v>1940</v>
      </c>
    </row>
    <row r="164" spans="1:9" x14ac:dyDescent="0.25">
      <c r="A164" s="1" t="s">
        <v>166</v>
      </c>
      <c r="B164" s="1" t="s">
        <v>682</v>
      </c>
      <c r="C164" s="2">
        <v>44305</v>
      </c>
      <c r="D164" s="6">
        <f>Tabuľka1383132[[#This Row],[Suma s DPH]]</f>
        <v>68</v>
      </c>
      <c r="E164" s="6">
        <v>68</v>
      </c>
      <c r="F164" s="1" t="s">
        <v>469</v>
      </c>
      <c r="G164" s="4" t="s">
        <v>1100</v>
      </c>
      <c r="H164" s="4" t="s">
        <v>1100</v>
      </c>
      <c r="I164" s="1" t="s">
        <v>1940</v>
      </c>
    </row>
    <row r="165" spans="1:9" x14ac:dyDescent="0.25">
      <c r="A165" s="1" t="s">
        <v>167</v>
      </c>
      <c r="B165" s="1" t="s">
        <v>683</v>
      </c>
      <c r="C165" s="2">
        <v>44305</v>
      </c>
      <c r="D165" s="6">
        <f>Tabuľka1383132[[#This Row],[Suma s DPH]]</f>
        <v>780</v>
      </c>
      <c r="E165" s="6">
        <v>780</v>
      </c>
      <c r="F165" s="1" t="s">
        <v>473</v>
      </c>
      <c r="G165" s="1" t="s">
        <v>1109</v>
      </c>
      <c r="H165" s="1" t="s">
        <v>1110</v>
      </c>
      <c r="I165" s="1" t="s">
        <v>1001</v>
      </c>
    </row>
    <row r="166" spans="1:9" x14ac:dyDescent="0.25">
      <c r="A166" s="1" t="s">
        <v>168</v>
      </c>
      <c r="B166" s="1" t="s">
        <v>684</v>
      </c>
      <c r="C166" s="2">
        <v>44305</v>
      </c>
      <c r="D166" s="29">
        <f>-14.67</f>
        <v>-14.67</v>
      </c>
      <c r="E166" s="29">
        <v>-17.61</v>
      </c>
      <c r="F166" s="1" t="s">
        <v>468</v>
      </c>
      <c r="G166" s="1" t="s">
        <v>1098</v>
      </c>
      <c r="H166" s="7" t="s">
        <v>1108</v>
      </c>
      <c r="I166" s="1" t="s">
        <v>1398</v>
      </c>
    </row>
    <row r="167" spans="1:9" x14ac:dyDescent="0.25">
      <c r="A167" s="1" t="s">
        <v>169</v>
      </c>
      <c r="B167" s="1" t="s">
        <v>685</v>
      </c>
      <c r="C167" s="2">
        <v>44305</v>
      </c>
      <c r="D167" s="6">
        <f>3002.95</f>
        <v>3002.95</v>
      </c>
      <c r="E167" s="6">
        <v>3002.95</v>
      </c>
      <c r="F167" s="1" t="s">
        <v>468</v>
      </c>
      <c r="G167" s="1" t="s">
        <v>1098</v>
      </c>
      <c r="H167" s="7" t="s">
        <v>1108</v>
      </c>
      <c r="I167" s="1" t="s">
        <v>1002</v>
      </c>
    </row>
    <row r="168" spans="1:9" x14ac:dyDescent="0.25">
      <c r="A168" s="1" t="s">
        <v>170</v>
      </c>
      <c r="B168" s="1" t="s">
        <v>686</v>
      </c>
      <c r="C168" s="2">
        <v>44305</v>
      </c>
      <c r="D168" s="6">
        <f>12311.67</f>
        <v>12311.67</v>
      </c>
      <c r="E168" s="6">
        <v>14774</v>
      </c>
      <c r="F168" s="1" t="s">
        <v>468</v>
      </c>
      <c r="G168" s="1" t="s">
        <v>1098</v>
      </c>
      <c r="H168" s="7" t="s">
        <v>1108</v>
      </c>
      <c r="I168" s="1" t="s">
        <v>1400</v>
      </c>
    </row>
    <row r="169" spans="1:9" x14ac:dyDescent="0.25">
      <c r="A169" s="1" t="s">
        <v>171</v>
      </c>
      <c r="B169" s="1" t="s">
        <v>687</v>
      </c>
      <c r="C169" s="2">
        <v>44305</v>
      </c>
      <c r="D169" s="6">
        <f>245.52</f>
        <v>245.52</v>
      </c>
      <c r="E169" s="6">
        <v>294.63</v>
      </c>
      <c r="F169" s="1" t="s">
        <v>468</v>
      </c>
      <c r="G169" s="1" t="s">
        <v>1098</v>
      </c>
      <c r="H169" s="7" t="s">
        <v>1108</v>
      </c>
      <c r="I169" s="1" t="s">
        <v>1399</v>
      </c>
    </row>
    <row r="170" spans="1:9" x14ac:dyDescent="0.25">
      <c r="A170" s="1" t="s">
        <v>136</v>
      </c>
      <c r="B170" s="1" t="s">
        <v>652</v>
      </c>
      <c r="C170" s="2">
        <v>44286</v>
      </c>
      <c r="D170" s="6">
        <v>3192.6</v>
      </c>
      <c r="E170" s="6">
        <v>3831.12</v>
      </c>
      <c r="F170" s="1" t="s">
        <v>468</v>
      </c>
      <c r="G170" s="1" t="s">
        <v>1098</v>
      </c>
      <c r="H170" s="7" t="s">
        <v>1108</v>
      </c>
      <c r="I170" s="1" t="s">
        <v>1401</v>
      </c>
    </row>
    <row r="171" spans="1:9" x14ac:dyDescent="0.25">
      <c r="A171" s="1" t="s">
        <v>172</v>
      </c>
      <c r="B171" s="1" t="s">
        <v>688</v>
      </c>
      <c r="C171" s="2">
        <v>44305</v>
      </c>
      <c r="D171" s="6">
        <f>39.04</f>
        <v>39.04</v>
      </c>
      <c r="E171" s="6">
        <v>39.04</v>
      </c>
      <c r="F171" s="1" t="s">
        <v>468</v>
      </c>
      <c r="G171" s="1" t="s">
        <v>1098</v>
      </c>
      <c r="H171" s="7" t="s">
        <v>1108</v>
      </c>
      <c r="I171" s="1" t="s">
        <v>1402</v>
      </c>
    </row>
    <row r="172" spans="1:9" x14ac:dyDescent="0.25">
      <c r="A172" s="1" t="s">
        <v>173</v>
      </c>
      <c r="B172" s="1" t="s">
        <v>689</v>
      </c>
      <c r="C172" s="2">
        <v>44305</v>
      </c>
      <c r="D172" s="29">
        <f>-15.14</f>
        <v>-15.14</v>
      </c>
      <c r="E172" s="29">
        <v>-18.170000000000002</v>
      </c>
      <c r="F172" s="1" t="s">
        <v>468</v>
      </c>
      <c r="G172" s="1" t="s">
        <v>1098</v>
      </c>
      <c r="H172" s="7" t="s">
        <v>1108</v>
      </c>
      <c r="I172" s="1" t="s">
        <v>1403</v>
      </c>
    </row>
    <row r="173" spans="1:9" x14ac:dyDescent="0.25">
      <c r="A173" s="1" t="s">
        <v>174</v>
      </c>
      <c r="B173" s="1" t="s">
        <v>690</v>
      </c>
      <c r="C173" s="2">
        <v>44305</v>
      </c>
      <c r="D173" s="6">
        <f>345.1</f>
        <v>345.1</v>
      </c>
      <c r="E173" s="6">
        <v>414.12</v>
      </c>
      <c r="F173" s="1" t="s">
        <v>504</v>
      </c>
      <c r="G173" s="1" t="s">
        <v>1107</v>
      </c>
      <c r="H173" s="1" t="s">
        <v>1108</v>
      </c>
      <c r="I173" s="1" t="s">
        <v>1404</v>
      </c>
    </row>
    <row r="174" spans="1:9" x14ac:dyDescent="0.25">
      <c r="A174" s="1" t="s">
        <v>137</v>
      </c>
      <c r="B174" s="1" t="s">
        <v>653</v>
      </c>
      <c r="C174" s="2">
        <v>44286</v>
      </c>
      <c r="D174" s="6">
        <f>Tabuľka1383132[[#This Row],[Suma s DPH]]/120*100</f>
        <v>4417.208333333333</v>
      </c>
      <c r="E174" s="6">
        <v>5300.65</v>
      </c>
      <c r="F174" s="1" t="s">
        <v>475</v>
      </c>
      <c r="G174" s="1" t="s">
        <v>1115</v>
      </c>
      <c r="H174" s="1" t="s">
        <v>1116</v>
      </c>
      <c r="I174" s="1" t="s">
        <v>1343</v>
      </c>
    </row>
    <row r="175" spans="1:9" x14ac:dyDescent="0.25">
      <c r="A175" s="1" t="s">
        <v>138</v>
      </c>
      <c r="B175" s="1" t="s">
        <v>654</v>
      </c>
      <c r="C175" s="2">
        <v>44286</v>
      </c>
      <c r="D175" s="12">
        <f>Tabuľka1383132[[#This Row],[Suma s DPH]]</f>
        <v>70</v>
      </c>
      <c r="E175" s="12">
        <v>70</v>
      </c>
      <c r="F175" s="1" t="s">
        <v>484</v>
      </c>
      <c r="G175" s="4" t="s">
        <v>1100</v>
      </c>
      <c r="H175" s="4" t="s">
        <v>1100</v>
      </c>
      <c r="I175" s="1" t="s">
        <v>1980</v>
      </c>
    </row>
    <row r="176" spans="1:9" x14ac:dyDescent="0.25">
      <c r="A176" s="1" t="s">
        <v>180</v>
      </c>
      <c r="B176" s="1" t="s">
        <v>696</v>
      </c>
      <c r="C176" s="2">
        <v>44312</v>
      </c>
      <c r="D176" s="6">
        <f>Tabuľka1383132[[#This Row],[Suma s DPH]]</f>
        <v>49.5</v>
      </c>
      <c r="E176" s="6">
        <v>49.5</v>
      </c>
      <c r="F176" s="1" t="s">
        <v>469</v>
      </c>
      <c r="G176" s="4" t="s">
        <v>1100</v>
      </c>
      <c r="H176" s="4" t="s">
        <v>1100</v>
      </c>
      <c r="I176" s="1" t="s">
        <v>1940</v>
      </c>
    </row>
    <row r="177" spans="1:9" x14ac:dyDescent="0.25">
      <c r="A177" s="1" t="s">
        <v>181</v>
      </c>
      <c r="B177" s="1" t="s">
        <v>697</v>
      </c>
      <c r="C177" s="2">
        <v>44312</v>
      </c>
      <c r="D177" s="6">
        <f>Tabuľka1383132[[#This Row],[Suma s DPH]]</f>
        <v>49.5</v>
      </c>
      <c r="E177" s="6">
        <v>49.5</v>
      </c>
      <c r="F177" s="1" t="s">
        <v>469</v>
      </c>
      <c r="G177" s="4" t="s">
        <v>1100</v>
      </c>
      <c r="H177" s="4" t="s">
        <v>1100</v>
      </c>
      <c r="I177" s="1" t="s">
        <v>1940</v>
      </c>
    </row>
    <row r="178" spans="1:9" x14ac:dyDescent="0.25">
      <c r="A178" s="1" t="s">
        <v>182</v>
      </c>
      <c r="B178" s="1" t="s">
        <v>698</v>
      </c>
      <c r="C178" s="2">
        <v>44312</v>
      </c>
      <c r="D178" s="6">
        <f>Tabuľka1383132[[#This Row],[Suma s DPH]]</f>
        <v>49.5</v>
      </c>
      <c r="E178" s="6">
        <v>49.5</v>
      </c>
      <c r="F178" s="1" t="s">
        <v>469</v>
      </c>
      <c r="G178" s="4" t="s">
        <v>1100</v>
      </c>
      <c r="H178" s="4" t="s">
        <v>1100</v>
      </c>
      <c r="I178" s="1" t="s">
        <v>1940</v>
      </c>
    </row>
    <row r="179" spans="1:9" x14ac:dyDescent="0.25">
      <c r="A179" s="1" t="s">
        <v>183</v>
      </c>
      <c r="B179" s="1" t="s">
        <v>699</v>
      </c>
      <c r="C179" s="2">
        <v>44312</v>
      </c>
      <c r="D179" s="6">
        <f>Tabuľka1383132[[#This Row],[Suma s DPH]]</f>
        <v>49.5</v>
      </c>
      <c r="E179" s="6">
        <v>49.5</v>
      </c>
      <c r="F179" s="1" t="s">
        <v>469</v>
      </c>
      <c r="G179" s="4" t="s">
        <v>1100</v>
      </c>
      <c r="H179" s="4" t="s">
        <v>1100</v>
      </c>
      <c r="I179" s="1" t="s">
        <v>1940</v>
      </c>
    </row>
    <row r="180" spans="1:9" x14ac:dyDescent="0.25">
      <c r="A180" s="1" t="s">
        <v>184</v>
      </c>
      <c r="B180" s="1" t="s">
        <v>700</v>
      </c>
      <c r="C180" s="2">
        <v>44312</v>
      </c>
      <c r="D180" s="6">
        <f>Tabuľka1383132[[#This Row],[Suma s DPH]]</f>
        <v>49.5</v>
      </c>
      <c r="E180" s="6">
        <v>49.5</v>
      </c>
      <c r="F180" s="1" t="s">
        <v>469</v>
      </c>
      <c r="G180" s="4" t="s">
        <v>1100</v>
      </c>
      <c r="H180" s="4" t="s">
        <v>1100</v>
      </c>
      <c r="I180" s="1" t="s">
        <v>1940</v>
      </c>
    </row>
    <row r="181" spans="1:9" x14ac:dyDescent="0.25">
      <c r="A181" s="1" t="s">
        <v>185</v>
      </c>
      <c r="B181" s="1" t="s">
        <v>701</v>
      </c>
      <c r="C181" s="2">
        <v>44312</v>
      </c>
      <c r="D181" s="6">
        <f>Tabuľka1383132[[#This Row],[Suma s DPH]]</f>
        <v>49.5</v>
      </c>
      <c r="E181" s="6">
        <v>49.5</v>
      </c>
      <c r="F181" s="1" t="s">
        <v>469</v>
      </c>
      <c r="G181" s="4" t="s">
        <v>1100</v>
      </c>
      <c r="H181" s="4" t="s">
        <v>1100</v>
      </c>
      <c r="I181" s="1" t="s">
        <v>1940</v>
      </c>
    </row>
    <row r="182" spans="1:9" x14ac:dyDescent="0.25">
      <c r="A182" s="1" t="s">
        <v>186</v>
      </c>
      <c r="B182" s="1" t="s">
        <v>702</v>
      </c>
      <c r="C182" s="2">
        <v>44312</v>
      </c>
      <c r="D182" s="6">
        <f>Tabuľka1383132[[#This Row],[Suma s DPH]]</f>
        <v>49.5</v>
      </c>
      <c r="E182" s="6">
        <v>49.5</v>
      </c>
      <c r="F182" s="1" t="s">
        <v>469</v>
      </c>
      <c r="G182" s="4" t="s">
        <v>1100</v>
      </c>
      <c r="H182" s="4" t="s">
        <v>1100</v>
      </c>
      <c r="I182" s="1" t="s">
        <v>1940</v>
      </c>
    </row>
    <row r="183" spans="1:9" x14ac:dyDescent="0.25">
      <c r="A183" s="1" t="s">
        <v>187</v>
      </c>
      <c r="B183" s="1" t="s">
        <v>703</v>
      </c>
      <c r="C183" s="2">
        <v>44312</v>
      </c>
      <c r="D183" s="6">
        <f>Tabuľka1383132[[#This Row],[Suma s DPH]]</f>
        <v>49.5</v>
      </c>
      <c r="E183" s="6">
        <v>49.5</v>
      </c>
      <c r="F183" s="1" t="s">
        <v>469</v>
      </c>
      <c r="G183" s="4" t="s">
        <v>1100</v>
      </c>
      <c r="H183" s="4" t="s">
        <v>1100</v>
      </c>
      <c r="I183" s="1" t="s">
        <v>1940</v>
      </c>
    </row>
    <row r="184" spans="1:9" x14ac:dyDescent="0.25">
      <c r="A184" s="1" t="s">
        <v>188</v>
      </c>
      <c r="B184" s="1" t="s">
        <v>704</v>
      </c>
      <c r="C184" s="2">
        <v>44312</v>
      </c>
      <c r="D184" s="6">
        <f>Tabuľka1383132[[#This Row],[Suma s DPH]]</f>
        <v>129.5</v>
      </c>
      <c r="E184" s="6">
        <v>129.5</v>
      </c>
      <c r="F184" s="1" t="s">
        <v>469</v>
      </c>
      <c r="G184" s="4" t="s">
        <v>1100</v>
      </c>
      <c r="H184" s="4" t="s">
        <v>1100</v>
      </c>
      <c r="I184" s="1" t="s">
        <v>1940</v>
      </c>
    </row>
    <row r="185" spans="1:9" x14ac:dyDescent="0.25">
      <c r="A185" s="1" t="s">
        <v>189</v>
      </c>
      <c r="B185" s="1" t="s">
        <v>705</v>
      </c>
      <c r="C185" s="2">
        <v>44312</v>
      </c>
      <c r="D185" s="6">
        <f>Tabuľka1383132[[#This Row],[Suma s DPH]]</f>
        <v>259.5</v>
      </c>
      <c r="E185" s="6">
        <v>259.5</v>
      </c>
      <c r="F185" s="1" t="s">
        <v>469</v>
      </c>
      <c r="G185" s="4" t="s">
        <v>1100</v>
      </c>
      <c r="H185" s="4" t="s">
        <v>1100</v>
      </c>
      <c r="I185" s="1" t="s">
        <v>1940</v>
      </c>
    </row>
    <row r="186" spans="1:9" x14ac:dyDescent="0.25">
      <c r="A186" s="1" t="s">
        <v>190</v>
      </c>
      <c r="B186" s="1" t="s">
        <v>706</v>
      </c>
      <c r="C186" s="2">
        <v>44312</v>
      </c>
      <c r="D186" s="6">
        <f>Tabuľka1383132[[#This Row],[Suma s DPH]]</f>
        <v>73.5</v>
      </c>
      <c r="E186" s="6">
        <v>73.5</v>
      </c>
      <c r="F186" s="1" t="s">
        <v>469</v>
      </c>
      <c r="G186" s="4" t="s">
        <v>1100</v>
      </c>
      <c r="H186" s="4" t="s">
        <v>1100</v>
      </c>
      <c r="I186" s="1" t="s">
        <v>1940</v>
      </c>
    </row>
    <row r="187" spans="1:9" x14ac:dyDescent="0.25">
      <c r="A187" s="1" t="s">
        <v>191</v>
      </c>
      <c r="B187" s="1" t="s">
        <v>707</v>
      </c>
      <c r="C187" s="2">
        <v>44312</v>
      </c>
      <c r="D187" s="6">
        <f>Tabuľka1383132[[#This Row],[Suma s DPH]]</f>
        <v>108</v>
      </c>
      <c r="E187" s="6">
        <v>108</v>
      </c>
      <c r="F187" s="1" t="s">
        <v>469</v>
      </c>
      <c r="G187" s="4" t="s">
        <v>1100</v>
      </c>
      <c r="H187" s="4" t="s">
        <v>1100</v>
      </c>
      <c r="I187" s="1" t="s">
        <v>1940</v>
      </c>
    </row>
    <row r="188" spans="1:9" x14ac:dyDescent="0.25">
      <c r="A188" s="1" t="s">
        <v>192</v>
      </c>
      <c r="B188" s="1" t="s">
        <v>708</v>
      </c>
      <c r="C188" s="2">
        <v>44312</v>
      </c>
      <c r="D188" s="23">
        <v>2373.6</v>
      </c>
      <c r="E188" s="6">
        <v>2373.6</v>
      </c>
      <c r="F188" s="1" t="s">
        <v>486</v>
      </c>
      <c r="G188" s="1" t="s">
        <v>1133</v>
      </c>
      <c r="H188" s="1" t="s">
        <v>1134</v>
      </c>
      <c r="I188" s="1" t="s">
        <v>1405</v>
      </c>
    </row>
    <row r="189" spans="1:9" x14ac:dyDescent="0.25">
      <c r="A189" s="1" t="s">
        <v>176</v>
      </c>
      <c r="B189" s="1" t="s">
        <v>692</v>
      </c>
      <c r="C189" s="2">
        <v>44308</v>
      </c>
      <c r="D189" s="6">
        <f>Tabuľka1383132[[#This Row],[Suma s DPH]]</f>
        <v>135</v>
      </c>
      <c r="E189" s="6">
        <v>135</v>
      </c>
      <c r="F189" s="1" t="s">
        <v>476</v>
      </c>
      <c r="G189" s="1" t="s">
        <v>1118</v>
      </c>
      <c r="H189" s="1" t="s">
        <v>1130</v>
      </c>
      <c r="I189" s="1" t="s">
        <v>1407</v>
      </c>
    </row>
    <row r="190" spans="1:9" x14ac:dyDescent="0.25">
      <c r="A190" s="1" t="s">
        <v>177</v>
      </c>
      <c r="B190" s="1" t="s">
        <v>693</v>
      </c>
      <c r="C190" s="2">
        <v>44308</v>
      </c>
      <c r="D190" s="6">
        <f>Tabuľka1383132[[#This Row],[Suma s DPH]]</f>
        <v>135</v>
      </c>
      <c r="E190" s="6">
        <v>135</v>
      </c>
      <c r="F190" s="1" t="s">
        <v>476</v>
      </c>
      <c r="G190" s="1" t="s">
        <v>1118</v>
      </c>
      <c r="H190" s="1" t="s">
        <v>1130</v>
      </c>
      <c r="I190" s="1" t="s">
        <v>1406</v>
      </c>
    </row>
    <row r="191" spans="1:9" x14ac:dyDescent="0.25">
      <c r="A191" s="1" t="s">
        <v>178</v>
      </c>
      <c r="B191" s="1" t="s">
        <v>694</v>
      </c>
      <c r="C191" s="2">
        <v>44308</v>
      </c>
      <c r="D191" s="6">
        <f>Tabuľka1383132[[#This Row],[Suma s DPH]]</f>
        <v>112</v>
      </c>
      <c r="E191" s="6">
        <v>112</v>
      </c>
      <c r="F191" s="1" t="s">
        <v>476</v>
      </c>
      <c r="G191" s="1" t="s">
        <v>1118</v>
      </c>
      <c r="H191" s="1" t="s">
        <v>1131</v>
      </c>
      <c r="I191" s="1" t="s">
        <v>1408</v>
      </c>
    </row>
    <row r="192" spans="1:9" x14ac:dyDescent="0.25">
      <c r="A192" s="1" t="s">
        <v>179</v>
      </c>
      <c r="B192" s="1" t="s">
        <v>695</v>
      </c>
      <c r="C192" s="2">
        <v>44308</v>
      </c>
      <c r="D192" s="6">
        <f>Tabuľka1383132[[#This Row],[Suma s DPH]]</f>
        <v>95</v>
      </c>
      <c r="E192" s="6">
        <v>95</v>
      </c>
      <c r="F192" s="1" t="s">
        <v>476</v>
      </c>
      <c r="G192" s="1" t="s">
        <v>1118</v>
      </c>
      <c r="H192" s="1" t="s">
        <v>1132</v>
      </c>
      <c r="I192" s="1" t="s">
        <v>1409</v>
      </c>
    </row>
    <row r="193" spans="1:9" x14ac:dyDescent="0.25">
      <c r="A193" s="1" t="s">
        <v>193</v>
      </c>
      <c r="B193" s="1" t="s">
        <v>709</v>
      </c>
      <c r="C193" s="2">
        <v>44312</v>
      </c>
      <c r="D193" s="6">
        <f>172.5</f>
        <v>172.5</v>
      </c>
      <c r="E193" s="6">
        <v>207</v>
      </c>
      <c r="F193" s="1" t="s">
        <v>487</v>
      </c>
      <c r="G193" s="1" t="s">
        <v>1135</v>
      </c>
      <c r="H193" s="1" t="s">
        <v>1136</v>
      </c>
      <c r="I193" s="1" t="s">
        <v>1410</v>
      </c>
    </row>
    <row r="194" spans="1:9" x14ac:dyDescent="0.25">
      <c r="A194" s="1" t="s">
        <v>194</v>
      </c>
      <c r="B194" s="1" t="s">
        <v>710</v>
      </c>
      <c r="C194" s="2">
        <v>44312</v>
      </c>
      <c r="D194" s="6">
        <f>264</f>
        <v>264</v>
      </c>
      <c r="E194" s="6">
        <v>316.8</v>
      </c>
      <c r="F194" s="1" t="s">
        <v>488</v>
      </c>
      <c r="G194" s="1" t="s">
        <v>1137</v>
      </c>
      <c r="H194" s="1" t="s">
        <v>1138</v>
      </c>
      <c r="I194" s="1" t="s">
        <v>1411</v>
      </c>
    </row>
    <row r="195" spans="1:9" x14ac:dyDescent="0.25">
      <c r="A195" s="1" t="s">
        <v>209</v>
      </c>
      <c r="B195" s="1" t="s">
        <v>725</v>
      </c>
      <c r="C195" s="2">
        <v>44313</v>
      </c>
      <c r="D195" s="6">
        <f>Tabuľka1383132[[#This Row],[Suma s DPH]]</f>
        <v>230.52</v>
      </c>
      <c r="E195" s="6">
        <v>230.52</v>
      </c>
      <c r="F195" s="1" t="s">
        <v>489</v>
      </c>
      <c r="G195" s="4" t="s">
        <v>1100</v>
      </c>
      <c r="H195" s="4" t="s">
        <v>1100</v>
      </c>
      <c r="I195" s="1" t="s">
        <v>1944</v>
      </c>
    </row>
    <row r="196" spans="1:9" x14ac:dyDescent="0.25">
      <c r="A196" s="1" t="s">
        <v>210</v>
      </c>
      <c r="B196" s="1" t="s">
        <v>726</v>
      </c>
      <c r="C196" s="2">
        <v>44313</v>
      </c>
      <c r="D196" s="6">
        <f>Tabuľka1383132[[#This Row],[Suma s DPH]]</f>
        <v>72</v>
      </c>
      <c r="E196" s="6">
        <v>72</v>
      </c>
      <c r="F196" s="1" t="s">
        <v>490</v>
      </c>
      <c r="G196" s="1" t="s">
        <v>1139</v>
      </c>
      <c r="H196" s="4" t="s">
        <v>1100</v>
      </c>
      <c r="I196" s="1" t="s">
        <v>1945</v>
      </c>
    </row>
    <row r="197" spans="1:9" x14ac:dyDescent="0.25">
      <c r="A197" s="1" t="s">
        <v>195</v>
      </c>
      <c r="B197" s="1" t="s">
        <v>711</v>
      </c>
      <c r="C197" s="2">
        <v>44312</v>
      </c>
      <c r="D197" s="6">
        <f>50.76</f>
        <v>50.76</v>
      </c>
      <c r="E197" s="6">
        <v>60.9</v>
      </c>
      <c r="F197" s="1" t="s">
        <v>467</v>
      </c>
      <c r="G197" s="1" t="s">
        <v>1099</v>
      </c>
      <c r="H197" s="1" t="s">
        <v>1117</v>
      </c>
      <c r="I197" s="1" t="s">
        <v>1297</v>
      </c>
    </row>
    <row r="198" spans="1:9" x14ac:dyDescent="0.25">
      <c r="A198" s="1" t="s">
        <v>211</v>
      </c>
      <c r="B198" s="1" t="s">
        <v>727</v>
      </c>
      <c r="C198" s="2">
        <v>44314</v>
      </c>
      <c r="D198" s="6">
        <f>462.33</f>
        <v>462.33</v>
      </c>
      <c r="E198" s="6">
        <v>554.79999999999995</v>
      </c>
      <c r="F198" s="1" t="s">
        <v>468</v>
      </c>
      <c r="G198" s="1" t="s">
        <v>1098</v>
      </c>
      <c r="H198" s="1" t="s">
        <v>1191</v>
      </c>
      <c r="I198" s="1" t="s">
        <v>1412</v>
      </c>
    </row>
    <row r="199" spans="1:9" x14ac:dyDescent="0.25">
      <c r="A199" s="1" t="s">
        <v>212</v>
      </c>
      <c r="B199" s="1" t="s">
        <v>728</v>
      </c>
      <c r="C199" s="2">
        <v>44314</v>
      </c>
      <c r="D199" s="6">
        <f>2977.4</f>
        <v>2977.4</v>
      </c>
      <c r="E199" s="6">
        <v>3572.88</v>
      </c>
      <c r="F199" s="1" t="s">
        <v>468</v>
      </c>
      <c r="G199" s="1" t="s">
        <v>1098</v>
      </c>
      <c r="H199" s="7" t="s">
        <v>1108</v>
      </c>
      <c r="I199" s="1" t="s">
        <v>1413</v>
      </c>
    </row>
    <row r="200" spans="1:9" x14ac:dyDescent="0.25">
      <c r="A200" s="1" t="s">
        <v>213</v>
      </c>
      <c r="B200" s="1" t="s">
        <v>729</v>
      </c>
      <c r="C200" s="2">
        <v>44314</v>
      </c>
      <c r="D200" s="29">
        <f>-198.74</f>
        <v>-198.74</v>
      </c>
      <c r="E200" s="29">
        <v>-238.49</v>
      </c>
      <c r="F200" s="1" t="s">
        <v>468</v>
      </c>
      <c r="G200" s="1" t="s">
        <v>1098</v>
      </c>
      <c r="H200" s="7" t="s">
        <v>1108</v>
      </c>
      <c r="I200" s="1" t="s">
        <v>1413</v>
      </c>
    </row>
    <row r="201" spans="1:9" x14ac:dyDescent="0.25">
      <c r="A201" s="1" t="s">
        <v>196</v>
      </c>
      <c r="B201" s="1" t="s">
        <v>712</v>
      </c>
      <c r="C201" s="2">
        <v>44312</v>
      </c>
      <c r="D201" s="6">
        <f>53.14</f>
        <v>53.14</v>
      </c>
      <c r="E201" s="6">
        <v>63.77</v>
      </c>
      <c r="F201" s="1" t="s">
        <v>468</v>
      </c>
      <c r="G201" s="1" t="s">
        <v>1098</v>
      </c>
      <c r="H201" s="1" t="s">
        <v>1191</v>
      </c>
      <c r="I201" s="1" t="s">
        <v>1414</v>
      </c>
    </row>
    <row r="202" spans="1:9" x14ac:dyDescent="0.25">
      <c r="A202" s="1" t="s">
        <v>197</v>
      </c>
      <c r="B202" s="1" t="s">
        <v>713</v>
      </c>
      <c r="C202" s="2">
        <v>44312</v>
      </c>
      <c r="D202" s="6">
        <f>3404.17</f>
        <v>3404.17</v>
      </c>
      <c r="E202" s="6">
        <v>4085</v>
      </c>
      <c r="F202" s="1" t="s">
        <v>468</v>
      </c>
      <c r="G202" s="1" t="s">
        <v>1098</v>
      </c>
      <c r="H202" s="7" t="s">
        <v>1108</v>
      </c>
      <c r="I202" s="1" t="s">
        <v>1415</v>
      </c>
    </row>
    <row r="203" spans="1:9" x14ac:dyDescent="0.25">
      <c r="A203" s="1" t="s">
        <v>198</v>
      </c>
      <c r="B203" s="1" t="s">
        <v>714</v>
      </c>
      <c r="C203" s="2">
        <v>44312</v>
      </c>
      <c r="D203" s="6">
        <f>309.4</f>
        <v>309.39999999999998</v>
      </c>
      <c r="E203" s="6">
        <v>371.28</v>
      </c>
      <c r="F203" s="1" t="s">
        <v>468</v>
      </c>
      <c r="G203" s="1" t="s">
        <v>1098</v>
      </c>
      <c r="H203" s="7" t="s">
        <v>1108</v>
      </c>
      <c r="I203" s="1" t="s">
        <v>1262</v>
      </c>
    </row>
    <row r="204" spans="1:9" x14ac:dyDescent="0.25">
      <c r="A204" s="1" t="s">
        <v>199</v>
      </c>
      <c r="B204" s="1" t="s">
        <v>715</v>
      </c>
      <c r="C204" s="2">
        <v>44312</v>
      </c>
      <c r="D204" s="6">
        <f>1.92</f>
        <v>1.92</v>
      </c>
      <c r="E204" s="6">
        <v>2.2999999999999998</v>
      </c>
      <c r="F204" s="1" t="s">
        <v>468</v>
      </c>
      <c r="G204" s="1" t="s">
        <v>1098</v>
      </c>
      <c r="H204" s="7" t="s">
        <v>1108</v>
      </c>
      <c r="I204" s="1" t="s">
        <v>1416</v>
      </c>
    </row>
    <row r="205" spans="1:9" x14ac:dyDescent="0.25">
      <c r="A205" s="1" t="s">
        <v>200</v>
      </c>
      <c r="B205" s="1" t="s">
        <v>716</v>
      </c>
      <c r="C205" s="2">
        <v>44312</v>
      </c>
      <c r="D205" s="6">
        <f>2251.73</f>
        <v>2251.73</v>
      </c>
      <c r="E205" s="6">
        <v>2702.08</v>
      </c>
      <c r="F205" s="1" t="s">
        <v>468</v>
      </c>
      <c r="G205" s="1" t="s">
        <v>1098</v>
      </c>
      <c r="H205" s="7" t="s">
        <v>1108</v>
      </c>
      <c r="I205" s="1" t="s">
        <v>1417</v>
      </c>
    </row>
    <row r="206" spans="1:9" x14ac:dyDescent="0.25">
      <c r="A206" s="1" t="s">
        <v>201</v>
      </c>
      <c r="B206" s="1" t="s">
        <v>717</v>
      </c>
      <c r="C206" s="2">
        <v>44312</v>
      </c>
      <c r="D206" s="6">
        <f>42</f>
        <v>42</v>
      </c>
      <c r="E206" s="6">
        <v>50.4</v>
      </c>
      <c r="F206" s="1" t="s">
        <v>472</v>
      </c>
      <c r="G206" s="1" t="s">
        <v>1151</v>
      </c>
      <c r="H206" s="1" t="s">
        <v>1095</v>
      </c>
      <c r="I206" s="1" t="s">
        <v>1418</v>
      </c>
    </row>
    <row r="207" spans="1:9" x14ac:dyDescent="0.25">
      <c r="A207" s="1" t="s">
        <v>202</v>
      </c>
      <c r="B207" s="1" t="s">
        <v>718</v>
      </c>
      <c r="C207" s="2">
        <v>44312</v>
      </c>
      <c r="D207" s="6">
        <f>26.6</f>
        <v>26.6</v>
      </c>
      <c r="E207" s="6">
        <v>31.92</v>
      </c>
      <c r="F207" s="1" t="s">
        <v>472</v>
      </c>
      <c r="G207" s="1" t="s">
        <v>1151</v>
      </c>
      <c r="H207" s="1" t="s">
        <v>1096</v>
      </c>
      <c r="I207" s="1" t="s">
        <v>1419</v>
      </c>
    </row>
    <row r="208" spans="1:9" x14ac:dyDescent="0.25">
      <c r="A208" s="1" t="s">
        <v>203</v>
      </c>
      <c r="B208" s="1" t="s">
        <v>719</v>
      </c>
      <c r="C208" s="2">
        <v>44312</v>
      </c>
      <c r="D208" s="6">
        <f>147</f>
        <v>147</v>
      </c>
      <c r="E208" s="6">
        <v>176.4</v>
      </c>
      <c r="F208" s="1" t="s">
        <v>470</v>
      </c>
      <c r="G208" s="1" t="s">
        <v>1101</v>
      </c>
      <c r="H208" s="1" t="s">
        <v>1102</v>
      </c>
      <c r="I208" s="1" t="s">
        <v>1359</v>
      </c>
    </row>
    <row r="209" spans="1:9" x14ac:dyDescent="0.25">
      <c r="A209" s="1" t="s">
        <v>204</v>
      </c>
      <c r="B209" s="1" t="s">
        <v>720</v>
      </c>
      <c r="C209" s="2">
        <v>44312</v>
      </c>
      <c r="D209" s="6">
        <f>83</f>
        <v>83</v>
      </c>
      <c r="E209" s="6">
        <v>99.6</v>
      </c>
      <c r="F209" s="1" t="s">
        <v>470</v>
      </c>
      <c r="G209" s="1" t="s">
        <v>1101</v>
      </c>
      <c r="H209" s="1" t="s">
        <v>1102</v>
      </c>
      <c r="I209" s="1" t="s">
        <v>1420</v>
      </c>
    </row>
    <row r="210" spans="1:9" x14ac:dyDescent="0.25">
      <c r="A210" s="1" t="s">
        <v>205</v>
      </c>
      <c r="B210" s="1" t="s">
        <v>721</v>
      </c>
      <c r="C210" s="2">
        <v>44312</v>
      </c>
      <c r="D210" s="6">
        <f>88.4</f>
        <v>88.4</v>
      </c>
      <c r="E210" s="6">
        <v>106.08</v>
      </c>
      <c r="F210" s="1" t="s">
        <v>470</v>
      </c>
      <c r="G210" s="1" t="s">
        <v>1101</v>
      </c>
      <c r="H210" s="1" t="s">
        <v>1102</v>
      </c>
      <c r="I210" s="1" t="s">
        <v>1421</v>
      </c>
    </row>
    <row r="211" spans="1:9" x14ac:dyDescent="0.25">
      <c r="A211" s="1" t="s">
        <v>206</v>
      </c>
      <c r="B211" s="1" t="s">
        <v>722</v>
      </c>
      <c r="C211" s="2">
        <v>44312</v>
      </c>
      <c r="D211" s="6">
        <f>83</f>
        <v>83</v>
      </c>
      <c r="E211" s="6">
        <v>99.6</v>
      </c>
      <c r="F211" s="1" t="s">
        <v>470</v>
      </c>
      <c r="G211" s="1" t="s">
        <v>1101</v>
      </c>
      <c r="H211" s="1" t="s">
        <v>1102</v>
      </c>
      <c r="I211" s="1" t="s">
        <v>1422</v>
      </c>
    </row>
    <row r="212" spans="1:9" x14ac:dyDescent="0.25">
      <c r="A212" s="1" t="s">
        <v>207</v>
      </c>
      <c r="B212" s="1" t="s">
        <v>723</v>
      </c>
      <c r="C212" s="2">
        <v>44312</v>
      </c>
      <c r="D212" s="6">
        <f>83</f>
        <v>83</v>
      </c>
      <c r="E212" s="6">
        <v>99.6</v>
      </c>
      <c r="F212" s="1" t="s">
        <v>470</v>
      </c>
      <c r="G212" s="1" t="s">
        <v>1101</v>
      </c>
      <c r="H212" s="1" t="s">
        <v>1102</v>
      </c>
      <c r="I212" s="1" t="s">
        <v>1423</v>
      </c>
    </row>
    <row r="213" spans="1:9" x14ac:dyDescent="0.25">
      <c r="A213" s="1" t="s">
        <v>208</v>
      </c>
      <c r="B213" s="1" t="s">
        <v>724</v>
      </c>
      <c r="C213" s="2">
        <v>44312</v>
      </c>
      <c r="D213" s="6">
        <f>48</f>
        <v>48</v>
      </c>
      <c r="E213" s="6">
        <v>57.6</v>
      </c>
      <c r="F213" s="1" t="s">
        <v>470</v>
      </c>
      <c r="G213" s="1" t="s">
        <v>1101</v>
      </c>
      <c r="H213" s="1" t="s">
        <v>1102</v>
      </c>
      <c r="I213" s="1" t="s">
        <v>1424</v>
      </c>
    </row>
    <row r="214" spans="1:9" x14ac:dyDescent="0.25">
      <c r="A214" s="1" t="s">
        <v>214</v>
      </c>
      <c r="B214" s="1" t="s">
        <v>730</v>
      </c>
      <c r="C214" s="2">
        <v>44315</v>
      </c>
      <c r="D214" s="6">
        <f>1094.67</f>
        <v>1094.67</v>
      </c>
      <c r="E214" s="6">
        <v>1313.6</v>
      </c>
      <c r="F214" s="1" t="s">
        <v>491</v>
      </c>
      <c r="G214" s="1" t="s">
        <v>1140</v>
      </c>
      <c r="H214" s="1" t="s">
        <v>1141</v>
      </c>
      <c r="I214" s="1" t="s">
        <v>1425</v>
      </c>
    </row>
    <row r="215" spans="1:9" x14ac:dyDescent="0.25">
      <c r="A215" s="1" t="s">
        <v>216</v>
      </c>
      <c r="B215" s="1" t="s">
        <v>732</v>
      </c>
      <c r="C215" s="2">
        <v>44319</v>
      </c>
      <c r="D215" s="6">
        <f>700</f>
        <v>700</v>
      </c>
      <c r="E215" s="6">
        <v>840</v>
      </c>
      <c r="F215" s="1" t="s">
        <v>468</v>
      </c>
      <c r="G215" s="1" t="s">
        <v>1098</v>
      </c>
      <c r="H215" s="1" t="s">
        <v>1189</v>
      </c>
      <c r="I215" s="1" t="s">
        <v>1311</v>
      </c>
    </row>
    <row r="216" spans="1:9" x14ac:dyDescent="0.25">
      <c r="A216" s="1" t="s">
        <v>217</v>
      </c>
      <c r="B216" s="1" t="s">
        <v>733</v>
      </c>
      <c r="C216" s="2">
        <v>44319</v>
      </c>
      <c r="D216" s="6">
        <f>160</f>
        <v>160</v>
      </c>
      <c r="E216" s="6">
        <v>192</v>
      </c>
      <c r="F216" s="1" t="s">
        <v>468</v>
      </c>
      <c r="G216" s="1" t="s">
        <v>1098</v>
      </c>
      <c r="H216" s="1" t="s">
        <v>1189</v>
      </c>
      <c r="I216" s="1" t="s">
        <v>1319</v>
      </c>
    </row>
    <row r="217" spans="1:9" x14ac:dyDescent="0.25">
      <c r="A217" s="1" t="s">
        <v>218</v>
      </c>
      <c r="B217" s="1" t="s">
        <v>734</v>
      </c>
      <c r="C217" s="2">
        <v>44319</v>
      </c>
      <c r="D217" s="6">
        <f>112</f>
        <v>112</v>
      </c>
      <c r="E217" s="6">
        <v>134.4</v>
      </c>
      <c r="F217" s="1" t="s">
        <v>468</v>
      </c>
      <c r="G217" s="1" t="s">
        <v>1098</v>
      </c>
      <c r="H217" s="1" t="s">
        <v>1189</v>
      </c>
      <c r="I217" s="1" t="s">
        <v>1315</v>
      </c>
    </row>
    <row r="218" spans="1:9" x14ac:dyDescent="0.25">
      <c r="A218" s="1" t="s">
        <v>219</v>
      </c>
      <c r="B218" s="1" t="s">
        <v>735</v>
      </c>
      <c r="C218" s="2">
        <v>44319</v>
      </c>
      <c r="D218" s="6">
        <f>24</f>
        <v>24</v>
      </c>
      <c r="E218" s="6">
        <v>28.8</v>
      </c>
      <c r="F218" s="1" t="s">
        <v>468</v>
      </c>
      <c r="G218" s="1" t="s">
        <v>1098</v>
      </c>
      <c r="H218" s="1" t="s">
        <v>1189</v>
      </c>
      <c r="I218" s="1" t="s">
        <v>1322</v>
      </c>
    </row>
    <row r="219" spans="1:9" x14ac:dyDescent="0.25">
      <c r="A219" s="1" t="s">
        <v>220</v>
      </c>
      <c r="B219" s="1" t="s">
        <v>736</v>
      </c>
      <c r="C219" s="2">
        <v>44319</v>
      </c>
      <c r="D219" s="6">
        <f>19089</f>
        <v>19089</v>
      </c>
      <c r="E219" s="6">
        <v>22906.799999999999</v>
      </c>
      <c r="F219" s="1" t="s">
        <v>468</v>
      </c>
      <c r="G219" s="1" t="s">
        <v>1098</v>
      </c>
      <c r="H219" s="1" t="s">
        <v>1189</v>
      </c>
      <c r="I219" s="1" t="s">
        <v>1306</v>
      </c>
    </row>
    <row r="220" spans="1:9" x14ac:dyDescent="0.25">
      <c r="A220" s="1" t="s">
        <v>215</v>
      </c>
      <c r="B220" s="1" t="s">
        <v>731</v>
      </c>
      <c r="C220" s="2">
        <v>44316</v>
      </c>
      <c r="D220" s="30">
        <f>Tabuľka1383132[[#This Row],[Suma s DPH]]/1.2</f>
        <v>-22.5</v>
      </c>
      <c r="E220" s="29">
        <v>-27</v>
      </c>
      <c r="F220" s="1" t="s">
        <v>470</v>
      </c>
      <c r="G220" s="1" t="s">
        <v>1101</v>
      </c>
      <c r="H220" s="1" t="s">
        <v>1102</v>
      </c>
      <c r="I220" s="1" t="s">
        <v>982</v>
      </c>
    </row>
    <row r="221" spans="1:9" x14ac:dyDescent="0.25">
      <c r="A221" s="1" t="s">
        <v>175</v>
      </c>
      <c r="B221" s="1" t="s">
        <v>691</v>
      </c>
      <c r="C221" s="2">
        <v>44306</v>
      </c>
      <c r="D221" s="6">
        <f>30</f>
        <v>30</v>
      </c>
      <c r="E221" s="6">
        <v>36</v>
      </c>
      <c r="F221" s="1" t="s">
        <v>474</v>
      </c>
      <c r="G221" s="1" t="s">
        <v>1111</v>
      </c>
      <c r="H221" s="1" t="s">
        <v>1113</v>
      </c>
      <c r="I221" s="1" t="s">
        <v>1426</v>
      </c>
    </row>
    <row r="222" spans="1:9" x14ac:dyDescent="0.25">
      <c r="A222" s="1" t="s">
        <v>160</v>
      </c>
      <c r="B222" s="1" t="s">
        <v>676</v>
      </c>
      <c r="C222" s="2">
        <v>44302</v>
      </c>
      <c r="D222" s="6">
        <f>255</f>
        <v>255</v>
      </c>
      <c r="E222" s="6">
        <v>306</v>
      </c>
      <c r="F222" s="1" t="s">
        <v>474</v>
      </c>
      <c r="G222" s="1" t="s">
        <v>1111</v>
      </c>
      <c r="H222" s="1" t="s">
        <v>1114</v>
      </c>
      <c r="I222" s="1" t="s">
        <v>1427</v>
      </c>
    </row>
    <row r="223" spans="1:9" x14ac:dyDescent="0.25">
      <c r="A223" s="1" t="s">
        <v>222</v>
      </c>
      <c r="B223" s="1" t="s">
        <v>738</v>
      </c>
      <c r="C223" s="2">
        <v>44320</v>
      </c>
      <c r="D223" s="6">
        <f>Tabuľka1383132[[#This Row],[Suma s DPH]]</f>
        <v>1096.18</v>
      </c>
      <c r="E223" s="6">
        <v>1096.18</v>
      </c>
      <c r="F223" s="1" t="s">
        <v>492</v>
      </c>
      <c r="G223" s="4" t="s">
        <v>1100</v>
      </c>
      <c r="H223" s="4" t="s">
        <v>1100</v>
      </c>
      <c r="I223" s="1" t="s">
        <v>1946</v>
      </c>
    </row>
    <row r="224" spans="1:9" x14ac:dyDescent="0.25">
      <c r="A224" s="1" t="s">
        <v>221</v>
      </c>
      <c r="B224" s="1" t="s">
        <v>737</v>
      </c>
      <c r="C224" s="2">
        <v>44319</v>
      </c>
      <c r="D224" s="6">
        <f>1973.69</f>
        <v>1973.69</v>
      </c>
      <c r="E224" s="6">
        <v>2368.4299999999998</v>
      </c>
      <c r="F224" s="1" t="s">
        <v>470</v>
      </c>
      <c r="G224" s="1" t="s">
        <v>1101</v>
      </c>
      <c r="H224" s="1" t="s">
        <v>1102</v>
      </c>
      <c r="I224" s="1" t="s">
        <v>1428</v>
      </c>
    </row>
    <row r="225" spans="1:9" x14ac:dyDescent="0.25">
      <c r="A225" s="1" t="s">
        <v>223</v>
      </c>
      <c r="B225" s="1" t="s">
        <v>739</v>
      </c>
      <c r="C225" s="2">
        <v>44320</v>
      </c>
      <c r="D225" s="6">
        <f>569</f>
        <v>569</v>
      </c>
      <c r="E225" s="6">
        <v>682.8</v>
      </c>
      <c r="F225" s="1" t="s">
        <v>470</v>
      </c>
      <c r="G225" s="1" t="s">
        <v>1101</v>
      </c>
      <c r="H225" s="1" t="s">
        <v>1102</v>
      </c>
      <c r="I225" s="1" t="s">
        <v>1429</v>
      </c>
    </row>
    <row r="226" spans="1:9" x14ac:dyDescent="0.25">
      <c r="A226" s="1" t="s">
        <v>226</v>
      </c>
      <c r="B226" s="1" t="s">
        <v>742</v>
      </c>
      <c r="C226" s="2">
        <v>44327</v>
      </c>
      <c r="D226" s="6">
        <f>Tabuľka1383132[[#This Row],[Suma s DPH]]</f>
        <v>49.5</v>
      </c>
      <c r="E226" s="6">
        <v>49.5</v>
      </c>
      <c r="F226" s="1" t="s">
        <v>469</v>
      </c>
      <c r="G226" s="4" t="s">
        <v>1100</v>
      </c>
      <c r="H226" s="4" t="s">
        <v>1100</v>
      </c>
      <c r="I226" s="1" t="s">
        <v>1940</v>
      </c>
    </row>
    <row r="227" spans="1:9" x14ac:dyDescent="0.25">
      <c r="A227" s="1" t="s">
        <v>227</v>
      </c>
      <c r="B227" s="1" t="s">
        <v>743</v>
      </c>
      <c r="C227" s="2">
        <v>44327</v>
      </c>
      <c r="D227" s="6">
        <f>Tabuľka1383132[[#This Row],[Suma s DPH]]</f>
        <v>780</v>
      </c>
      <c r="E227" s="6">
        <v>780</v>
      </c>
      <c r="F227" s="1" t="s">
        <v>473</v>
      </c>
      <c r="G227" s="1" t="s">
        <v>1109</v>
      </c>
      <c r="H227" s="1" t="s">
        <v>1110</v>
      </c>
      <c r="I227" s="1" t="s">
        <v>1004</v>
      </c>
    </row>
    <row r="228" spans="1:9" x14ac:dyDescent="0.25">
      <c r="A228" s="1" t="s">
        <v>228</v>
      </c>
      <c r="B228" s="1" t="s">
        <v>744</v>
      </c>
      <c r="C228" s="2">
        <v>44327</v>
      </c>
      <c r="D228" s="6">
        <f>264</f>
        <v>264</v>
      </c>
      <c r="E228" s="6">
        <v>316.8</v>
      </c>
      <c r="F228" s="1" t="s">
        <v>488</v>
      </c>
      <c r="G228" s="1" t="s">
        <v>1137</v>
      </c>
      <c r="H228" s="1" t="s">
        <v>1138</v>
      </c>
      <c r="I228" s="1" t="s">
        <v>1430</v>
      </c>
    </row>
    <row r="229" spans="1:9" x14ac:dyDescent="0.25">
      <c r="A229" s="1" t="s">
        <v>224</v>
      </c>
      <c r="B229" s="1" t="s">
        <v>740</v>
      </c>
      <c r="C229" s="2">
        <v>44323</v>
      </c>
      <c r="D229" s="6">
        <f>12311.67</f>
        <v>12311.67</v>
      </c>
      <c r="E229" s="6">
        <v>14774</v>
      </c>
      <c r="F229" s="1" t="s">
        <v>468</v>
      </c>
      <c r="G229" s="1" t="s">
        <v>1098</v>
      </c>
      <c r="H229" s="7" t="s">
        <v>1108</v>
      </c>
      <c r="I229" s="1" t="s">
        <v>1003</v>
      </c>
    </row>
    <row r="230" spans="1:9" x14ac:dyDescent="0.25">
      <c r="A230" s="1" t="s">
        <v>229</v>
      </c>
      <c r="B230" s="1" t="s">
        <v>745</v>
      </c>
      <c r="C230" s="2">
        <v>44327</v>
      </c>
      <c r="D230" s="6">
        <f>619.28</f>
        <v>619.28</v>
      </c>
      <c r="E230" s="6">
        <v>743.14</v>
      </c>
      <c r="F230" s="1" t="s">
        <v>468</v>
      </c>
      <c r="G230" s="1" t="s">
        <v>1098</v>
      </c>
      <c r="H230" s="7" t="s">
        <v>1108</v>
      </c>
      <c r="I230" s="1" t="s">
        <v>1431</v>
      </c>
    </row>
    <row r="231" spans="1:9" x14ac:dyDescent="0.25">
      <c r="A231" s="1" t="s">
        <v>230</v>
      </c>
      <c r="B231" s="1" t="s">
        <v>746</v>
      </c>
      <c r="C231" s="2">
        <v>44327</v>
      </c>
      <c r="D231" s="6">
        <f>245.52</f>
        <v>245.52</v>
      </c>
      <c r="E231" s="6">
        <v>294.63</v>
      </c>
      <c r="F231" s="1" t="s">
        <v>468</v>
      </c>
      <c r="G231" s="1" t="s">
        <v>1098</v>
      </c>
      <c r="H231" s="7" t="s">
        <v>1108</v>
      </c>
      <c r="I231" s="1" t="s">
        <v>1432</v>
      </c>
    </row>
    <row r="232" spans="1:9" x14ac:dyDescent="0.25">
      <c r="A232" s="1" t="s">
        <v>231</v>
      </c>
      <c r="B232" s="1" t="s">
        <v>747</v>
      </c>
      <c r="C232" s="2">
        <v>44327</v>
      </c>
      <c r="D232" s="6">
        <f>1482.02</f>
        <v>1482.02</v>
      </c>
      <c r="E232" s="6">
        <v>1778.42</v>
      </c>
      <c r="F232" s="1" t="s">
        <v>468</v>
      </c>
      <c r="G232" s="1" t="s">
        <v>1098</v>
      </c>
      <c r="H232" s="7" t="s">
        <v>1108</v>
      </c>
      <c r="I232" s="1" t="s">
        <v>1433</v>
      </c>
    </row>
    <row r="233" spans="1:9" x14ac:dyDescent="0.25">
      <c r="A233" s="1" t="s">
        <v>232</v>
      </c>
      <c r="B233" s="1" t="s">
        <v>748</v>
      </c>
      <c r="C233" s="2">
        <v>44327</v>
      </c>
      <c r="D233" s="6">
        <f>1195</f>
        <v>1195</v>
      </c>
      <c r="E233" s="6">
        <v>1434</v>
      </c>
      <c r="F233" s="1" t="s">
        <v>468</v>
      </c>
      <c r="G233" s="1" t="s">
        <v>1098</v>
      </c>
      <c r="H233" s="7" t="s">
        <v>1108</v>
      </c>
      <c r="I233" s="1" t="s">
        <v>1434</v>
      </c>
    </row>
    <row r="234" spans="1:9" x14ac:dyDescent="0.25">
      <c r="A234" s="1" t="s">
        <v>225</v>
      </c>
      <c r="B234" s="1" t="s">
        <v>741</v>
      </c>
      <c r="C234" s="2">
        <v>44323</v>
      </c>
      <c r="D234" s="6">
        <f>165.96</f>
        <v>165.96</v>
      </c>
      <c r="E234" s="6">
        <v>199.15</v>
      </c>
      <c r="F234" s="1" t="s">
        <v>466</v>
      </c>
      <c r="G234" s="1" t="s">
        <v>1105</v>
      </c>
      <c r="H234" s="1" t="s">
        <v>1106</v>
      </c>
      <c r="I234" s="1" t="s">
        <v>1366</v>
      </c>
    </row>
    <row r="235" spans="1:9" x14ac:dyDescent="0.25">
      <c r="A235" s="1" t="s">
        <v>233</v>
      </c>
      <c r="B235" s="1" t="s">
        <v>749</v>
      </c>
      <c r="C235" s="2">
        <v>44327</v>
      </c>
      <c r="D235" s="6">
        <f>16</f>
        <v>16</v>
      </c>
      <c r="E235" s="6">
        <v>19.2</v>
      </c>
      <c r="F235" s="1" t="s">
        <v>470</v>
      </c>
      <c r="G235" s="1" t="s">
        <v>1101</v>
      </c>
      <c r="H235" s="1" t="s">
        <v>1102</v>
      </c>
      <c r="I235" s="1" t="s">
        <v>1435</v>
      </c>
    </row>
    <row r="236" spans="1:9" x14ac:dyDescent="0.25">
      <c r="A236" s="1" t="s">
        <v>234</v>
      </c>
      <c r="B236" s="1" t="s">
        <v>750</v>
      </c>
      <c r="C236" s="2">
        <v>44329</v>
      </c>
      <c r="D236" s="6">
        <f>306.64</f>
        <v>306.64</v>
      </c>
      <c r="E236" s="6">
        <v>367.97</v>
      </c>
      <c r="F236" s="1" t="s">
        <v>504</v>
      </c>
      <c r="G236" s="1" t="s">
        <v>1107</v>
      </c>
      <c r="H236" s="1" t="s">
        <v>1108</v>
      </c>
      <c r="I236" s="1" t="s">
        <v>1436</v>
      </c>
    </row>
    <row r="237" spans="1:9" x14ac:dyDescent="0.25">
      <c r="A237" s="1" t="s">
        <v>235</v>
      </c>
      <c r="B237" s="1" t="s">
        <v>751</v>
      </c>
      <c r="C237" s="2">
        <v>44329</v>
      </c>
      <c r="D237" s="6">
        <f>37.12</f>
        <v>37.119999999999997</v>
      </c>
      <c r="E237" s="6">
        <v>37.119999999999997</v>
      </c>
      <c r="F237" s="1" t="s">
        <v>468</v>
      </c>
      <c r="G237" s="1" t="s">
        <v>1098</v>
      </c>
      <c r="H237" s="7" t="s">
        <v>1108</v>
      </c>
      <c r="I237" s="1" t="s">
        <v>1437</v>
      </c>
    </row>
    <row r="238" spans="1:9" x14ac:dyDescent="0.25">
      <c r="A238" s="1" t="s">
        <v>236</v>
      </c>
      <c r="B238" s="1" t="s">
        <v>752</v>
      </c>
      <c r="C238" s="2">
        <v>44329</v>
      </c>
      <c r="D238" s="29">
        <f>-4.53</f>
        <v>-4.53</v>
      </c>
      <c r="E238" s="29">
        <v>-5.44</v>
      </c>
      <c r="F238" s="1" t="s">
        <v>468</v>
      </c>
      <c r="G238" s="1" t="s">
        <v>1098</v>
      </c>
      <c r="H238" s="7" t="s">
        <v>1108</v>
      </c>
      <c r="I238" s="1" t="s">
        <v>1438</v>
      </c>
    </row>
    <row r="239" spans="1:9" x14ac:dyDescent="0.25">
      <c r="A239" s="1" t="s">
        <v>237</v>
      </c>
      <c r="B239" s="1" t="s">
        <v>753</v>
      </c>
      <c r="C239" s="2">
        <v>44330</v>
      </c>
      <c r="D239" s="6">
        <f>Tabuľka1383132[[#This Row],[Suma s DPH]]</f>
        <v>7</v>
      </c>
      <c r="E239" s="6">
        <v>7</v>
      </c>
      <c r="F239" s="1" t="s">
        <v>475</v>
      </c>
      <c r="G239" s="1" t="s">
        <v>1115</v>
      </c>
      <c r="H239" s="1" t="s">
        <v>1116</v>
      </c>
      <c r="I239" s="1" t="s">
        <v>1439</v>
      </c>
    </row>
    <row r="240" spans="1:9" x14ac:dyDescent="0.25">
      <c r="A240" s="1" t="s">
        <v>238</v>
      </c>
      <c r="B240" s="1" t="s">
        <v>754</v>
      </c>
      <c r="C240" s="2">
        <v>44330</v>
      </c>
      <c r="D240" s="6">
        <f>Tabuľka1383132[[#This Row],[Suma s DPH]]</f>
        <v>7</v>
      </c>
      <c r="E240" s="6">
        <v>7</v>
      </c>
      <c r="F240" s="1" t="s">
        <v>475</v>
      </c>
      <c r="G240" s="1" t="s">
        <v>1115</v>
      </c>
      <c r="H240" s="1" t="s">
        <v>1116</v>
      </c>
      <c r="I240" s="1" t="s">
        <v>1439</v>
      </c>
    </row>
    <row r="241" spans="1:9" x14ac:dyDescent="0.25">
      <c r="A241" s="1" t="s">
        <v>239</v>
      </c>
      <c r="B241" s="1" t="s">
        <v>755</v>
      </c>
      <c r="C241" s="2">
        <v>44330</v>
      </c>
      <c r="D241" s="6">
        <f>Tabuľka1383132[[#This Row],[Suma s DPH]]</f>
        <v>7</v>
      </c>
      <c r="E241" s="6">
        <v>7</v>
      </c>
      <c r="F241" s="1" t="s">
        <v>475</v>
      </c>
      <c r="G241" s="1" t="s">
        <v>1115</v>
      </c>
      <c r="H241" s="1" t="s">
        <v>1116</v>
      </c>
      <c r="I241" s="1" t="s">
        <v>1439</v>
      </c>
    </row>
    <row r="242" spans="1:9" x14ac:dyDescent="0.25">
      <c r="A242" s="1" t="s">
        <v>240</v>
      </c>
      <c r="B242" s="1" t="s">
        <v>756</v>
      </c>
      <c r="C242" s="2">
        <v>44333</v>
      </c>
      <c r="D242" s="6">
        <f>Tabuľka1383132[[#This Row],[Suma s DPH]]</f>
        <v>7</v>
      </c>
      <c r="E242" s="6">
        <v>7</v>
      </c>
      <c r="F242" s="1" t="s">
        <v>475</v>
      </c>
      <c r="G242" s="1" t="s">
        <v>1115</v>
      </c>
      <c r="H242" s="1" t="s">
        <v>1116</v>
      </c>
      <c r="I242" s="1" t="s">
        <v>1439</v>
      </c>
    </row>
    <row r="243" spans="1:9" x14ac:dyDescent="0.25">
      <c r="A243" s="1" t="s">
        <v>241</v>
      </c>
      <c r="B243" s="1" t="s">
        <v>757</v>
      </c>
      <c r="C243" s="2">
        <v>44333</v>
      </c>
      <c r="D243" s="6">
        <f>Tabuľka1383132[[#This Row],[Suma s DPH]]/120*100</f>
        <v>13213.316666666666</v>
      </c>
      <c r="E243" s="6">
        <v>15855.98</v>
      </c>
      <c r="F243" s="1" t="s">
        <v>475</v>
      </c>
      <c r="G243" s="1" t="s">
        <v>1115</v>
      </c>
      <c r="H243" s="1" t="s">
        <v>1116</v>
      </c>
      <c r="I243" s="1" t="s">
        <v>1344</v>
      </c>
    </row>
    <row r="244" spans="1:9" x14ac:dyDescent="0.25">
      <c r="A244" s="1" t="s">
        <v>242</v>
      </c>
      <c r="B244" s="1" t="s">
        <v>758</v>
      </c>
      <c r="C244" s="2">
        <v>44333</v>
      </c>
      <c r="D244" s="6">
        <f>3403.33</f>
        <v>3403.33</v>
      </c>
      <c r="E244" s="6">
        <v>4084</v>
      </c>
      <c r="F244" s="1" t="s">
        <v>468</v>
      </c>
      <c r="G244" s="1" t="s">
        <v>1098</v>
      </c>
      <c r="H244" s="7" t="s">
        <v>1108</v>
      </c>
      <c r="I244" s="1" t="s">
        <v>1440</v>
      </c>
    </row>
    <row r="245" spans="1:9" x14ac:dyDescent="0.25">
      <c r="A245" s="1" t="s">
        <v>243</v>
      </c>
      <c r="B245" s="1" t="s">
        <v>759</v>
      </c>
      <c r="C245" s="2">
        <v>44335</v>
      </c>
      <c r="D245" s="6">
        <f>Tabuľka1383132[[#This Row],[Suma s DPH]]</f>
        <v>49.5</v>
      </c>
      <c r="E245" s="6">
        <v>49.5</v>
      </c>
      <c r="F245" s="1" t="s">
        <v>469</v>
      </c>
      <c r="G245" s="4" t="s">
        <v>1100</v>
      </c>
      <c r="H245" s="4" t="s">
        <v>1100</v>
      </c>
      <c r="I245" s="1" t="s">
        <v>1940</v>
      </c>
    </row>
    <row r="246" spans="1:9" x14ac:dyDescent="0.25">
      <c r="A246" s="1" t="s">
        <v>244</v>
      </c>
      <c r="B246" s="1" t="s">
        <v>760</v>
      </c>
      <c r="C246" s="2">
        <v>44335</v>
      </c>
      <c r="D246" s="6">
        <f>Tabuľka1383132[[#This Row],[Suma s DPH]]</f>
        <v>49.5</v>
      </c>
      <c r="E246" s="6">
        <v>49.5</v>
      </c>
      <c r="F246" s="1" t="s">
        <v>469</v>
      </c>
      <c r="G246" s="4" t="s">
        <v>1100</v>
      </c>
      <c r="H246" s="4" t="s">
        <v>1100</v>
      </c>
      <c r="I246" s="1" t="s">
        <v>1940</v>
      </c>
    </row>
    <row r="247" spans="1:9" x14ac:dyDescent="0.25">
      <c r="A247" s="1" t="s">
        <v>245</v>
      </c>
      <c r="B247" s="1" t="s">
        <v>761</v>
      </c>
      <c r="C247" s="2">
        <v>44335</v>
      </c>
      <c r="D247" s="6">
        <f>Tabuľka1383132[[#This Row],[Suma s DPH]]</f>
        <v>40</v>
      </c>
      <c r="E247" s="6">
        <v>40</v>
      </c>
      <c r="F247" s="1" t="s">
        <v>469</v>
      </c>
      <c r="G247" s="4" t="s">
        <v>1100</v>
      </c>
      <c r="H247" s="4" t="s">
        <v>1100</v>
      </c>
      <c r="I247" s="1" t="s">
        <v>1940</v>
      </c>
    </row>
    <row r="248" spans="1:9" x14ac:dyDescent="0.25">
      <c r="A248" s="1" t="s">
        <v>246</v>
      </c>
      <c r="B248" s="1" t="s">
        <v>762</v>
      </c>
      <c r="C248" s="2">
        <v>44340</v>
      </c>
      <c r="D248" s="6">
        <f>60</f>
        <v>60</v>
      </c>
      <c r="E248" s="6">
        <v>72</v>
      </c>
      <c r="F248" s="1" t="s">
        <v>493</v>
      </c>
      <c r="G248" s="1" t="s">
        <v>1142</v>
      </c>
      <c r="H248" s="4" t="s">
        <v>1100</v>
      </c>
      <c r="I248" s="1" t="s">
        <v>1947</v>
      </c>
    </row>
    <row r="249" spans="1:9" x14ac:dyDescent="0.25">
      <c r="A249" s="1" t="s">
        <v>247</v>
      </c>
      <c r="B249" s="1" t="s">
        <v>763</v>
      </c>
      <c r="C249" s="2">
        <v>44340</v>
      </c>
      <c r="D249" s="6">
        <f>60</f>
        <v>60</v>
      </c>
      <c r="E249" s="6">
        <v>72</v>
      </c>
      <c r="F249" s="1" t="s">
        <v>493</v>
      </c>
      <c r="G249" s="1" t="s">
        <v>1142</v>
      </c>
      <c r="H249" s="4" t="s">
        <v>1100</v>
      </c>
      <c r="I249" s="1" t="s">
        <v>1948</v>
      </c>
    </row>
    <row r="250" spans="1:9" x14ac:dyDescent="0.25">
      <c r="A250" s="1" t="s">
        <v>248</v>
      </c>
      <c r="B250" s="1" t="s">
        <v>764</v>
      </c>
      <c r="C250" s="2">
        <v>44340</v>
      </c>
      <c r="D250" s="6">
        <f>50.76</f>
        <v>50.76</v>
      </c>
      <c r="E250" s="6">
        <v>60.9</v>
      </c>
      <c r="F250" s="1" t="s">
        <v>467</v>
      </c>
      <c r="G250" s="1" t="s">
        <v>1099</v>
      </c>
      <c r="H250" s="1" t="s">
        <v>1117</v>
      </c>
      <c r="I250" s="1" t="s">
        <v>1298</v>
      </c>
    </row>
    <row r="251" spans="1:9" x14ac:dyDescent="0.25">
      <c r="A251" s="1" t="s">
        <v>249</v>
      </c>
      <c r="B251" s="1" t="s">
        <v>765</v>
      </c>
      <c r="C251" s="2">
        <v>44340</v>
      </c>
      <c r="D251" s="6">
        <f>3978.32</f>
        <v>3978.32</v>
      </c>
      <c r="E251" s="6">
        <v>4773.99</v>
      </c>
      <c r="F251" s="1" t="s">
        <v>468</v>
      </c>
      <c r="G251" s="1" t="s">
        <v>1098</v>
      </c>
      <c r="H251" s="1" t="s">
        <v>1602</v>
      </c>
      <c r="I251" s="1" t="s">
        <v>1441</v>
      </c>
    </row>
    <row r="252" spans="1:9" x14ac:dyDescent="0.25">
      <c r="A252" s="1" t="s">
        <v>250</v>
      </c>
      <c r="B252" s="1" t="s">
        <v>766</v>
      </c>
      <c r="C252" s="2">
        <v>44340</v>
      </c>
      <c r="D252" s="6">
        <f>162.6</f>
        <v>162.6</v>
      </c>
      <c r="E252" s="6">
        <v>195.12</v>
      </c>
      <c r="F252" s="1" t="s">
        <v>468</v>
      </c>
      <c r="G252" s="1" t="s">
        <v>1098</v>
      </c>
      <c r="H252" s="7" t="s">
        <v>1108</v>
      </c>
      <c r="I252" s="1" t="s">
        <v>1263</v>
      </c>
    </row>
    <row r="253" spans="1:9" x14ac:dyDescent="0.25">
      <c r="A253" s="1" t="s">
        <v>251</v>
      </c>
      <c r="B253" s="1" t="s">
        <v>767</v>
      </c>
      <c r="C253" s="2">
        <v>44340</v>
      </c>
      <c r="D253" s="6">
        <f>4504.43</f>
        <v>4504.43</v>
      </c>
      <c r="E253" s="6">
        <v>4504.43</v>
      </c>
      <c r="F253" s="1" t="s">
        <v>468</v>
      </c>
      <c r="G253" s="1" t="s">
        <v>1098</v>
      </c>
      <c r="H253" s="7" t="s">
        <v>1108</v>
      </c>
      <c r="I253" s="1" t="s">
        <v>1442</v>
      </c>
    </row>
    <row r="254" spans="1:9" x14ac:dyDescent="0.25">
      <c r="A254" s="1" t="s">
        <v>252</v>
      </c>
      <c r="B254" s="1" t="s">
        <v>768</v>
      </c>
      <c r="C254" s="2">
        <v>44340</v>
      </c>
      <c r="D254" s="6">
        <f>121.49</f>
        <v>121.49</v>
      </c>
      <c r="E254" s="6">
        <v>145.79</v>
      </c>
      <c r="F254" s="1" t="s">
        <v>468</v>
      </c>
      <c r="G254" s="1" t="s">
        <v>1098</v>
      </c>
      <c r="H254" s="1" t="s">
        <v>1975</v>
      </c>
      <c r="I254" s="1" t="s">
        <v>1443</v>
      </c>
    </row>
    <row r="255" spans="1:9" x14ac:dyDescent="0.25">
      <c r="A255" s="1" t="s">
        <v>253</v>
      </c>
      <c r="B255" s="1" t="s">
        <v>769</v>
      </c>
      <c r="C255" s="2">
        <v>44340</v>
      </c>
      <c r="D255" s="6">
        <f>19065.83</f>
        <v>19065.830000000002</v>
      </c>
      <c r="E255" s="6">
        <v>22879</v>
      </c>
      <c r="F255" s="1" t="s">
        <v>468</v>
      </c>
      <c r="G255" s="1" t="s">
        <v>1098</v>
      </c>
      <c r="H255" s="1" t="s">
        <v>1190</v>
      </c>
      <c r="I255" s="1" t="s">
        <v>1005</v>
      </c>
    </row>
    <row r="256" spans="1:9" x14ac:dyDescent="0.25">
      <c r="A256" s="1" t="s">
        <v>254</v>
      </c>
      <c r="B256" s="1" t="s">
        <v>770</v>
      </c>
      <c r="C256" s="2">
        <v>44340</v>
      </c>
      <c r="D256" s="6">
        <f>13390.83</f>
        <v>13390.83</v>
      </c>
      <c r="E256" s="6">
        <v>16069</v>
      </c>
      <c r="F256" s="1" t="s">
        <v>468</v>
      </c>
      <c r="G256" s="1" t="s">
        <v>1098</v>
      </c>
      <c r="H256" s="1" t="s">
        <v>1190</v>
      </c>
      <c r="I256" s="1" t="s">
        <v>1006</v>
      </c>
    </row>
    <row r="257" spans="1:9" x14ac:dyDescent="0.25">
      <c r="A257" s="1" t="s">
        <v>255</v>
      </c>
      <c r="B257" s="1" t="s">
        <v>771</v>
      </c>
      <c r="C257" s="2">
        <v>44340</v>
      </c>
      <c r="D257" s="6">
        <f>2909.63</f>
        <v>2909.63</v>
      </c>
      <c r="E257" s="6">
        <v>3491.56</v>
      </c>
      <c r="F257" s="1" t="s">
        <v>468</v>
      </c>
      <c r="G257" s="1" t="s">
        <v>1098</v>
      </c>
      <c r="H257" s="1" t="s">
        <v>1190</v>
      </c>
      <c r="I257" s="1" t="s">
        <v>1007</v>
      </c>
    </row>
    <row r="258" spans="1:9" x14ac:dyDescent="0.25">
      <c r="A258" s="1" t="s">
        <v>256</v>
      </c>
      <c r="B258" s="1" t="s">
        <v>772</v>
      </c>
      <c r="C258" s="2">
        <v>44342</v>
      </c>
      <c r="D258" s="6">
        <f>33.19</f>
        <v>33.19</v>
      </c>
      <c r="E258" s="6">
        <v>39.83</v>
      </c>
      <c r="F258" s="1" t="s">
        <v>494</v>
      </c>
      <c r="G258" s="1" t="s">
        <v>1143</v>
      </c>
      <c r="H258" s="4" t="s">
        <v>1100</v>
      </c>
      <c r="I258" s="1" t="s">
        <v>1949</v>
      </c>
    </row>
    <row r="259" spans="1:9" x14ac:dyDescent="0.25">
      <c r="A259" s="1" t="s">
        <v>257</v>
      </c>
      <c r="B259" s="1" t="s">
        <v>773</v>
      </c>
      <c r="C259" s="2">
        <v>44342</v>
      </c>
      <c r="D259" s="6">
        <f>Tabuľka1383132[[#This Row],[Suma s DPH]]</f>
        <v>16.5</v>
      </c>
      <c r="E259" s="6">
        <v>16.5</v>
      </c>
      <c r="F259" s="1" t="s">
        <v>469</v>
      </c>
      <c r="G259" s="4" t="s">
        <v>1100</v>
      </c>
      <c r="H259" s="4" t="s">
        <v>1100</v>
      </c>
      <c r="I259" s="1" t="s">
        <v>1940</v>
      </c>
    </row>
    <row r="260" spans="1:9" x14ac:dyDescent="0.25">
      <c r="A260" s="1" t="s">
        <v>258</v>
      </c>
      <c r="B260" s="1" t="s">
        <v>774</v>
      </c>
      <c r="C260" s="2">
        <v>44342</v>
      </c>
      <c r="D260" s="6">
        <f>Tabuľka1383132[[#This Row],[Suma s DPH]]</f>
        <v>16.5</v>
      </c>
      <c r="E260" s="6">
        <v>16.5</v>
      </c>
      <c r="F260" s="1" t="s">
        <v>469</v>
      </c>
      <c r="G260" s="4" t="s">
        <v>1100</v>
      </c>
      <c r="H260" s="4" t="s">
        <v>1100</v>
      </c>
      <c r="I260" s="1" t="s">
        <v>1940</v>
      </c>
    </row>
    <row r="261" spans="1:9" x14ac:dyDescent="0.25">
      <c r="A261" s="1" t="s">
        <v>259</v>
      </c>
      <c r="B261" s="1" t="s">
        <v>775</v>
      </c>
      <c r="C261" s="2">
        <v>44342</v>
      </c>
      <c r="D261" s="6">
        <f>Tabuľka1383132[[#This Row],[Suma s DPH]]</f>
        <v>16.5</v>
      </c>
      <c r="E261" s="6">
        <v>16.5</v>
      </c>
      <c r="F261" s="1" t="s">
        <v>469</v>
      </c>
      <c r="G261" s="4" t="s">
        <v>1100</v>
      </c>
      <c r="H261" s="4" t="s">
        <v>1100</v>
      </c>
      <c r="I261" s="1" t="s">
        <v>1940</v>
      </c>
    </row>
    <row r="262" spans="1:9" x14ac:dyDescent="0.25">
      <c r="A262" s="1" t="s">
        <v>260</v>
      </c>
      <c r="B262" s="1" t="s">
        <v>776</v>
      </c>
      <c r="C262" s="2">
        <v>44342</v>
      </c>
      <c r="D262" s="6">
        <f>Tabuľka1383132[[#This Row],[Suma s DPH]]</f>
        <v>16.5</v>
      </c>
      <c r="E262" s="6">
        <v>16.5</v>
      </c>
      <c r="F262" s="1" t="s">
        <v>469</v>
      </c>
      <c r="G262" s="4" t="s">
        <v>1100</v>
      </c>
      <c r="H262" s="4" t="s">
        <v>1100</v>
      </c>
      <c r="I262" s="1" t="s">
        <v>1940</v>
      </c>
    </row>
    <row r="263" spans="1:9" x14ac:dyDescent="0.25">
      <c r="A263" s="1" t="s">
        <v>261</v>
      </c>
      <c r="B263" s="1" t="s">
        <v>777</v>
      </c>
      <c r="C263" s="2">
        <v>44342</v>
      </c>
      <c r="D263" s="6">
        <f>Tabuľka1383132[[#This Row],[Suma s DPH]]</f>
        <v>16.5</v>
      </c>
      <c r="E263" s="6">
        <v>16.5</v>
      </c>
      <c r="F263" s="1" t="s">
        <v>469</v>
      </c>
      <c r="G263" s="4" t="s">
        <v>1100</v>
      </c>
      <c r="H263" s="4" t="s">
        <v>1100</v>
      </c>
      <c r="I263" s="1" t="s">
        <v>1940</v>
      </c>
    </row>
    <row r="264" spans="1:9" x14ac:dyDescent="0.25">
      <c r="A264" s="1" t="s">
        <v>262</v>
      </c>
      <c r="B264" s="1" t="s">
        <v>778</v>
      </c>
      <c r="C264" s="2">
        <v>44342</v>
      </c>
      <c r="D264" s="6">
        <f>Tabuľka1383132[[#This Row],[Suma s DPH]]</f>
        <v>16.5</v>
      </c>
      <c r="E264" s="6">
        <v>16.5</v>
      </c>
      <c r="F264" s="1" t="s">
        <v>469</v>
      </c>
      <c r="G264" s="4" t="s">
        <v>1100</v>
      </c>
      <c r="H264" s="4" t="s">
        <v>1100</v>
      </c>
      <c r="I264" s="1" t="s">
        <v>1940</v>
      </c>
    </row>
    <row r="265" spans="1:9" x14ac:dyDescent="0.25">
      <c r="A265" s="1" t="s">
        <v>263</v>
      </c>
      <c r="B265" s="1" t="s">
        <v>779</v>
      </c>
      <c r="C265" s="2">
        <v>44342</v>
      </c>
      <c r="D265" s="6">
        <f>Tabuľka1383132[[#This Row],[Suma s DPH]]</f>
        <v>16.5</v>
      </c>
      <c r="E265" s="6">
        <v>16.5</v>
      </c>
      <c r="F265" s="1" t="s">
        <v>469</v>
      </c>
      <c r="G265" s="4" t="s">
        <v>1100</v>
      </c>
      <c r="H265" s="4" t="s">
        <v>1100</v>
      </c>
      <c r="I265" s="1" t="s">
        <v>1940</v>
      </c>
    </row>
    <row r="266" spans="1:9" x14ac:dyDescent="0.25">
      <c r="A266" s="1" t="s">
        <v>264</v>
      </c>
      <c r="B266" s="1" t="s">
        <v>780</v>
      </c>
      <c r="C266" s="2">
        <v>44342</v>
      </c>
      <c r="D266" s="6">
        <f>Tabuľka1383132[[#This Row],[Suma s DPH]]</f>
        <v>16.5</v>
      </c>
      <c r="E266" s="6">
        <v>16.5</v>
      </c>
      <c r="F266" s="1" t="s">
        <v>469</v>
      </c>
      <c r="G266" s="4" t="s">
        <v>1100</v>
      </c>
      <c r="H266" s="4" t="s">
        <v>1100</v>
      </c>
      <c r="I266" s="1" t="s">
        <v>1940</v>
      </c>
    </row>
    <row r="267" spans="1:9" x14ac:dyDescent="0.25">
      <c r="A267" s="1" t="s">
        <v>265</v>
      </c>
      <c r="B267" s="1" t="s">
        <v>781</v>
      </c>
      <c r="C267" s="2">
        <v>44342</v>
      </c>
      <c r="D267" s="6">
        <f>Tabuľka1383132[[#This Row],[Suma s DPH]]</f>
        <v>16.5</v>
      </c>
      <c r="E267" s="6">
        <v>16.5</v>
      </c>
      <c r="F267" s="1" t="s">
        <v>469</v>
      </c>
      <c r="G267" s="4" t="s">
        <v>1100</v>
      </c>
      <c r="H267" s="4" t="s">
        <v>1100</v>
      </c>
      <c r="I267" s="1" t="s">
        <v>1940</v>
      </c>
    </row>
    <row r="268" spans="1:9" x14ac:dyDescent="0.25">
      <c r="A268" s="1" t="s">
        <v>266</v>
      </c>
      <c r="B268" s="1" t="s">
        <v>782</v>
      </c>
      <c r="C268" s="2">
        <v>44342</v>
      </c>
      <c r="D268" s="6">
        <f>Tabuľka1383132[[#This Row],[Suma s DPH]]</f>
        <v>16.5</v>
      </c>
      <c r="E268" s="6">
        <v>16.5</v>
      </c>
      <c r="F268" s="1" t="s">
        <v>469</v>
      </c>
      <c r="G268" s="4" t="s">
        <v>1100</v>
      </c>
      <c r="H268" s="4" t="s">
        <v>1100</v>
      </c>
      <c r="I268" s="1" t="s">
        <v>1940</v>
      </c>
    </row>
    <row r="269" spans="1:9" x14ac:dyDescent="0.25">
      <c r="A269" s="1" t="s">
        <v>267</v>
      </c>
      <c r="B269" s="1" t="s">
        <v>783</v>
      </c>
      <c r="C269" s="2">
        <v>44342</v>
      </c>
      <c r="D269" s="6">
        <f>6.67</f>
        <v>6.67</v>
      </c>
      <c r="E269" s="6">
        <v>8</v>
      </c>
      <c r="F269" s="1" t="s">
        <v>468</v>
      </c>
      <c r="G269" s="1" t="s">
        <v>1098</v>
      </c>
      <c r="H269" s="7" t="s">
        <v>1108</v>
      </c>
      <c r="I269" s="1" t="s">
        <v>1444</v>
      </c>
    </row>
    <row r="270" spans="1:9" x14ac:dyDescent="0.25">
      <c r="A270" s="1" t="s">
        <v>279</v>
      </c>
      <c r="B270" s="1" t="s">
        <v>795</v>
      </c>
      <c r="C270" s="2">
        <v>44350</v>
      </c>
      <c r="D270" s="6">
        <f>60</f>
        <v>60</v>
      </c>
      <c r="E270" s="6">
        <v>72</v>
      </c>
      <c r="F270" s="1" t="s">
        <v>494</v>
      </c>
      <c r="G270" s="1" t="s">
        <v>1143</v>
      </c>
      <c r="H270" s="4" t="s">
        <v>1100</v>
      </c>
      <c r="I270" s="1" t="s">
        <v>1950</v>
      </c>
    </row>
    <row r="271" spans="1:9" x14ac:dyDescent="0.25">
      <c r="A271" s="1" t="s">
        <v>280</v>
      </c>
      <c r="B271" s="1" t="s">
        <v>796</v>
      </c>
      <c r="C271" s="2">
        <v>44350</v>
      </c>
      <c r="D271" s="6">
        <f>60.4</f>
        <v>60.4</v>
      </c>
      <c r="E271" s="6">
        <v>72.48</v>
      </c>
      <c r="F271" s="1" t="s">
        <v>470</v>
      </c>
      <c r="G271" s="1" t="s">
        <v>1101</v>
      </c>
      <c r="H271" s="1" t="s">
        <v>1102</v>
      </c>
      <c r="I271" s="1" t="s">
        <v>1445</v>
      </c>
    </row>
    <row r="272" spans="1:9" x14ac:dyDescent="0.25">
      <c r="A272" s="1" t="s">
        <v>281</v>
      </c>
      <c r="B272" s="1" t="s">
        <v>797</v>
      </c>
      <c r="C272" s="2">
        <v>44350</v>
      </c>
      <c r="D272" s="6">
        <f>D271</f>
        <v>60.4</v>
      </c>
      <c r="E272" s="6">
        <v>72.48</v>
      </c>
      <c r="F272" s="1" t="s">
        <v>470</v>
      </c>
      <c r="G272" s="1" t="s">
        <v>1101</v>
      </c>
      <c r="H272" s="1" t="s">
        <v>1102</v>
      </c>
      <c r="I272" s="1" t="s">
        <v>1360</v>
      </c>
    </row>
    <row r="273" spans="1:9" x14ac:dyDescent="0.25">
      <c r="A273" s="1" t="s">
        <v>282</v>
      </c>
      <c r="B273" s="1" t="s">
        <v>798</v>
      </c>
      <c r="C273" s="2">
        <v>44350</v>
      </c>
      <c r="D273" s="6">
        <f>35</f>
        <v>35</v>
      </c>
      <c r="E273" s="6">
        <v>42</v>
      </c>
      <c r="F273" s="1" t="s">
        <v>470</v>
      </c>
      <c r="G273" s="1" t="s">
        <v>1101</v>
      </c>
      <c r="H273" s="1" t="s">
        <v>1102</v>
      </c>
      <c r="I273" s="1" t="s">
        <v>1423</v>
      </c>
    </row>
    <row r="274" spans="1:9" x14ac:dyDescent="0.25">
      <c r="A274" s="1" t="s">
        <v>283</v>
      </c>
      <c r="B274" s="1" t="s">
        <v>799</v>
      </c>
      <c r="C274" s="2">
        <v>44350</v>
      </c>
      <c r="D274" s="6">
        <f>17.5</f>
        <v>17.5</v>
      </c>
      <c r="E274" s="6">
        <v>21</v>
      </c>
      <c r="F274" s="1" t="s">
        <v>470</v>
      </c>
      <c r="G274" s="1" t="s">
        <v>1101</v>
      </c>
      <c r="H274" s="1" t="s">
        <v>1102</v>
      </c>
      <c r="I274" s="1" t="s">
        <v>1446</v>
      </c>
    </row>
    <row r="275" spans="1:9" x14ac:dyDescent="0.25">
      <c r="A275" s="1" t="s">
        <v>268</v>
      </c>
      <c r="B275" s="1" t="s">
        <v>784</v>
      </c>
      <c r="C275" s="2">
        <v>44344</v>
      </c>
      <c r="D275" s="6">
        <f>632</f>
        <v>632</v>
      </c>
      <c r="E275" s="6">
        <v>758.4</v>
      </c>
      <c r="F275" s="1" t="s">
        <v>472</v>
      </c>
      <c r="G275" s="1" t="s">
        <v>1151</v>
      </c>
      <c r="H275" s="1" t="s">
        <v>1097</v>
      </c>
      <c r="I275" s="1" t="s">
        <v>1447</v>
      </c>
    </row>
    <row r="276" spans="1:9" x14ac:dyDescent="0.25">
      <c r="A276" s="1" t="s">
        <v>284</v>
      </c>
      <c r="B276" s="1" t="s">
        <v>800</v>
      </c>
      <c r="C276" s="2">
        <v>44356</v>
      </c>
      <c r="D276" s="6">
        <f>Tabuľka1383132[[#This Row],[Suma s DPH]]</f>
        <v>16.5</v>
      </c>
      <c r="E276" s="6">
        <v>16.5</v>
      </c>
      <c r="F276" s="1" t="s">
        <v>469</v>
      </c>
      <c r="G276" s="4" t="s">
        <v>1100</v>
      </c>
      <c r="H276" s="4" t="s">
        <v>1100</v>
      </c>
      <c r="I276" s="1" t="s">
        <v>1940</v>
      </c>
    </row>
    <row r="277" spans="1:9" x14ac:dyDescent="0.25">
      <c r="A277" s="1" t="s">
        <v>285</v>
      </c>
      <c r="B277" s="1" t="s">
        <v>801</v>
      </c>
      <c r="C277" s="2">
        <v>44356</v>
      </c>
      <c r="D277" s="6">
        <f>Tabuľka1383132[[#This Row],[Suma s DPH]]</f>
        <v>16.5</v>
      </c>
      <c r="E277" s="6">
        <v>16.5</v>
      </c>
      <c r="F277" s="1" t="s">
        <v>469</v>
      </c>
      <c r="G277" s="4" t="s">
        <v>1100</v>
      </c>
      <c r="H277" s="4" t="s">
        <v>1100</v>
      </c>
      <c r="I277" s="1" t="s">
        <v>1940</v>
      </c>
    </row>
    <row r="278" spans="1:9" x14ac:dyDescent="0.25">
      <c r="A278" s="1" t="s">
        <v>286</v>
      </c>
      <c r="B278" s="1" t="s">
        <v>802</v>
      </c>
      <c r="C278" s="2">
        <v>44356</v>
      </c>
      <c r="D278" s="6">
        <f>Tabuľka1383132[[#This Row],[Suma s DPH]]</f>
        <v>16.5</v>
      </c>
      <c r="E278" s="6">
        <v>16.5</v>
      </c>
      <c r="F278" s="1" t="s">
        <v>469</v>
      </c>
      <c r="G278" s="4" t="s">
        <v>1100</v>
      </c>
      <c r="H278" s="4" t="s">
        <v>1100</v>
      </c>
      <c r="I278" s="1" t="s">
        <v>1940</v>
      </c>
    </row>
    <row r="279" spans="1:9" x14ac:dyDescent="0.25">
      <c r="A279" s="1" t="s">
        <v>287</v>
      </c>
      <c r="B279" s="1" t="s">
        <v>803</v>
      </c>
      <c r="C279" s="2">
        <v>44356</v>
      </c>
      <c r="D279" s="6">
        <f t="shared" ref="D279:D288" si="0">16.5</f>
        <v>16.5</v>
      </c>
      <c r="E279" s="6">
        <v>19.8</v>
      </c>
      <c r="F279" s="1" t="s">
        <v>479</v>
      </c>
      <c r="G279" s="1" t="s">
        <v>1124</v>
      </c>
      <c r="H279" s="22" t="s">
        <v>1965</v>
      </c>
      <c r="I279" s="1" t="s">
        <v>1942</v>
      </c>
    </row>
    <row r="280" spans="1:9" x14ac:dyDescent="0.25">
      <c r="A280" s="1" t="s">
        <v>288</v>
      </c>
      <c r="B280" s="1" t="s">
        <v>804</v>
      </c>
      <c r="C280" s="2">
        <v>44356</v>
      </c>
      <c r="D280" s="6">
        <f t="shared" si="0"/>
        <v>16.5</v>
      </c>
      <c r="E280" s="6">
        <v>19.8</v>
      </c>
      <c r="F280" s="1" t="s">
        <v>479</v>
      </c>
      <c r="G280" s="1" t="s">
        <v>1124</v>
      </c>
      <c r="H280" s="22" t="s">
        <v>1965</v>
      </c>
      <c r="I280" s="1" t="s">
        <v>1942</v>
      </c>
    </row>
    <row r="281" spans="1:9" x14ac:dyDescent="0.25">
      <c r="A281" s="1" t="s">
        <v>289</v>
      </c>
      <c r="B281" s="1" t="s">
        <v>805</v>
      </c>
      <c r="C281" s="2">
        <v>44356</v>
      </c>
      <c r="D281" s="6">
        <f t="shared" si="0"/>
        <v>16.5</v>
      </c>
      <c r="E281" s="6">
        <v>19.8</v>
      </c>
      <c r="F281" s="1" t="s">
        <v>479</v>
      </c>
      <c r="G281" s="1" t="s">
        <v>1124</v>
      </c>
      <c r="H281" s="22" t="s">
        <v>1965</v>
      </c>
      <c r="I281" s="1" t="s">
        <v>1942</v>
      </c>
    </row>
    <row r="282" spans="1:9" x14ac:dyDescent="0.25">
      <c r="A282" s="1" t="s">
        <v>290</v>
      </c>
      <c r="B282" s="1" t="s">
        <v>806</v>
      </c>
      <c r="C282" s="2">
        <v>44356</v>
      </c>
      <c r="D282" s="6">
        <f t="shared" si="0"/>
        <v>16.5</v>
      </c>
      <c r="E282" s="6">
        <v>19.8</v>
      </c>
      <c r="F282" s="1" t="s">
        <v>479</v>
      </c>
      <c r="G282" s="1" t="s">
        <v>1124</v>
      </c>
      <c r="H282" s="22" t="s">
        <v>1965</v>
      </c>
      <c r="I282" s="1" t="s">
        <v>1942</v>
      </c>
    </row>
    <row r="283" spans="1:9" x14ac:dyDescent="0.25">
      <c r="A283" s="1" t="s">
        <v>291</v>
      </c>
      <c r="B283" s="1" t="s">
        <v>807</v>
      </c>
      <c r="C283" s="2">
        <v>44356</v>
      </c>
      <c r="D283" s="6">
        <f t="shared" si="0"/>
        <v>16.5</v>
      </c>
      <c r="E283" s="6">
        <v>19.8</v>
      </c>
      <c r="F283" s="1" t="s">
        <v>479</v>
      </c>
      <c r="G283" s="1" t="s">
        <v>1124</v>
      </c>
      <c r="H283" s="22" t="s">
        <v>1965</v>
      </c>
      <c r="I283" s="1" t="s">
        <v>1942</v>
      </c>
    </row>
    <row r="284" spans="1:9" x14ac:dyDescent="0.25">
      <c r="A284" s="1" t="s">
        <v>292</v>
      </c>
      <c r="B284" s="1" t="s">
        <v>808</v>
      </c>
      <c r="C284" s="2">
        <v>44356</v>
      </c>
      <c r="D284" s="6">
        <f t="shared" si="0"/>
        <v>16.5</v>
      </c>
      <c r="E284" s="6">
        <v>19.8</v>
      </c>
      <c r="F284" s="1" t="s">
        <v>479</v>
      </c>
      <c r="G284" s="1" t="s">
        <v>1124</v>
      </c>
      <c r="H284" s="22" t="s">
        <v>1965</v>
      </c>
      <c r="I284" s="1" t="s">
        <v>1942</v>
      </c>
    </row>
    <row r="285" spans="1:9" x14ac:dyDescent="0.25">
      <c r="A285" s="1" t="s">
        <v>293</v>
      </c>
      <c r="B285" s="1" t="s">
        <v>809</v>
      </c>
      <c r="C285" s="2">
        <v>44356</v>
      </c>
      <c r="D285" s="6">
        <f t="shared" si="0"/>
        <v>16.5</v>
      </c>
      <c r="E285" s="6">
        <v>19.8</v>
      </c>
      <c r="F285" s="1" t="s">
        <v>479</v>
      </c>
      <c r="G285" s="1" t="s">
        <v>1124</v>
      </c>
      <c r="H285" s="22" t="s">
        <v>1965</v>
      </c>
      <c r="I285" s="1" t="s">
        <v>1942</v>
      </c>
    </row>
    <row r="286" spans="1:9" x14ac:dyDescent="0.25">
      <c r="A286" s="1" t="s">
        <v>294</v>
      </c>
      <c r="B286" s="1" t="s">
        <v>810</v>
      </c>
      <c r="C286" s="2">
        <v>44356</v>
      </c>
      <c r="D286" s="6">
        <f t="shared" si="0"/>
        <v>16.5</v>
      </c>
      <c r="E286" s="6">
        <v>19.8</v>
      </c>
      <c r="F286" s="1" t="s">
        <v>479</v>
      </c>
      <c r="G286" s="1" t="s">
        <v>1124</v>
      </c>
      <c r="H286" s="22" t="s">
        <v>1965</v>
      </c>
      <c r="I286" s="1" t="s">
        <v>1942</v>
      </c>
    </row>
    <row r="287" spans="1:9" x14ac:dyDescent="0.25">
      <c r="A287" s="1" t="s">
        <v>295</v>
      </c>
      <c r="B287" s="1" t="s">
        <v>811</v>
      </c>
      <c r="C287" s="2">
        <v>44356</v>
      </c>
      <c r="D287" s="6">
        <f t="shared" si="0"/>
        <v>16.5</v>
      </c>
      <c r="E287" s="6">
        <v>19.8</v>
      </c>
      <c r="F287" s="1" t="s">
        <v>479</v>
      </c>
      <c r="G287" s="1" t="s">
        <v>1124</v>
      </c>
      <c r="H287" s="22" t="s">
        <v>1965</v>
      </c>
      <c r="I287" s="1" t="s">
        <v>1942</v>
      </c>
    </row>
    <row r="288" spans="1:9" x14ac:dyDescent="0.25">
      <c r="A288" s="1" t="s">
        <v>296</v>
      </c>
      <c r="B288" s="1" t="s">
        <v>812</v>
      </c>
      <c r="C288" s="2">
        <v>44356</v>
      </c>
      <c r="D288" s="6">
        <f t="shared" si="0"/>
        <v>16.5</v>
      </c>
      <c r="E288" s="6">
        <v>19.8</v>
      </c>
      <c r="F288" s="1" t="s">
        <v>479</v>
      </c>
      <c r="G288" s="1" t="s">
        <v>1124</v>
      </c>
      <c r="H288" s="22" t="s">
        <v>1965</v>
      </c>
      <c r="I288" s="1" t="s">
        <v>1942</v>
      </c>
    </row>
    <row r="289" spans="1:9" x14ac:dyDescent="0.25">
      <c r="A289" s="1" t="s">
        <v>297</v>
      </c>
      <c r="B289" s="1" t="s">
        <v>813</v>
      </c>
      <c r="C289" s="2">
        <v>44356</v>
      </c>
      <c r="D289" s="6">
        <f>Tabuľka1383132[[#This Row],[Suma s DPH]]</f>
        <v>780</v>
      </c>
      <c r="E289" s="6">
        <v>780</v>
      </c>
      <c r="F289" s="1" t="s">
        <v>473</v>
      </c>
      <c r="G289" s="1" t="s">
        <v>1109</v>
      </c>
      <c r="H289" s="1" t="s">
        <v>1110</v>
      </c>
      <c r="I289" s="1" t="s">
        <v>1011</v>
      </c>
    </row>
    <row r="290" spans="1:9" x14ac:dyDescent="0.25">
      <c r="A290" s="1" t="s">
        <v>298</v>
      </c>
      <c r="B290" s="1" t="s">
        <v>814</v>
      </c>
      <c r="C290" s="2">
        <v>44356</v>
      </c>
      <c r="D290" s="29">
        <f>-0.7</f>
        <v>-0.7</v>
      </c>
      <c r="E290" s="29">
        <v>-0.84</v>
      </c>
      <c r="F290" s="1" t="s">
        <v>504</v>
      </c>
      <c r="G290" s="1" t="s">
        <v>1107</v>
      </c>
      <c r="H290" s="1" t="s">
        <v>1108</v>
      </c>
      <c r="I290" s="1" t="s">
        <v>1448</v>
      </c>
    </row>
    <row r="291" spans="1:9" x14ac:dyDescent="0.25">
      <c r="A291" s="1" t="s">
        <v>299</v>
      </c>
      <c r="B291" s="1" t="s">
        <v>815</v>
      </c>
      <c r="C291" s="2">
        <v>44356</v>
      </c>
      <c r="D291" s="6">
        <f>1973.69</f>
        <v>1973.69</v>
      </c>
      <c r="E291" s="6">
        <v>2368.4299999999998</v>
      </c>
      <c r="F291" s="1" t="s">
        <v>470</v>
      </c>
      <c r="G291" s="1" t="s">
        <v>1101</v>
      </c>
      <c r="H291" s="1" t="s">
        <v>1102</v>
      </c>
      <c r="I291" s="1" t="s">
        <v>1329</v>
      </c>
    </row>
    <row r="292" spans="1:9" x14ac:dyDescent="0.25">
      <c r="A292" s="1" t="s">
        <v>269</v>
      </c>
      <c r="B292" s="1" t="s">
        <v>785</v>
      </c>
      <c r="C292" s="2">
        <v>44348</v>
      </c>
      <c r="D292" s="6">
        <f>2062.89</f>
        <v>2062.89</v>
      </c>
      <c r="E292" s="6">
        <v>2475.4699999999998</v>
      </c>
      <c r="F292" s="1" t="s">
        <v>468</v>
      </c>
      <c r="G292" s="1" t="s">
        <v>1098</v>
      </c>
      <c r="H292" s="7" t="s">
        <v>1108</v>
      </c>
      <c r="I292" s="1" t="s">
        <v>1449</v>
      </c>
    </row>
    <row r="293" spans="1:9" x14ac:dyDescent="0.25">
      <c r="A293" s="1" t="s">
        <v>270</v>
      </c>
      <c r="B293" s="1" t="s">
        <v>786</v>
      </c>
      <c r="C293" s="2">
        <v>44348</v>
      </c>
      <c r="D293" s="6">
        <f>109.1</f>
        <v>109.1</v>
      </c>
      <c r="E293" s="6">
        <v>130.91999999999999</v>
      </c>
      <c r="F293" s="1" t="s">
        <v>468</v>
      </c>
      <c r="G293" s="1" t="s">
        <v>1098</v>
      </c>
      <c r="H293" s="1" t="s">
        <v>1601</v>
      </c>
      <c r="I293" s="1" t="s">
        <v>1450</v>
      </c>
    </row>
    <row r="294" spans="1:9" x14ac:dyDescent="0.25">
      <c r="A294" s="1" t="s">
        <v>271</v>
      </c>
      <c r="B294" s="1" t="s">
        <v>787</v>
      </c>
      <c r="C294" s="2">
        <v>44348</v>
      </c>
      <c r="D294" s="6">
        <f>19089</f>
        <v>19089</v>
      </c>
      <c r="E294" s="6">
        <v>22906.799999999999</v>
      </c>
      <c r="F294" s="1" t="s">
        <v>468</v>
      </c>
      <c r="G294" s="1" t="s">
        <v>1098</v>
      </c>
      <c r="H294" s="1" t="s">
        <v>1189</v>
      </c>
      <c r="I294" s="1" t="s">
        <v>1306</v>
      </c>
    </row>
    <row r="295" spans="1:9" x14ac:dyDescent="0.25">
      <c r="A295" s="1" t="s">
        <v>272</v>
      </c>
      <c r="B295" s="1" t="s">
        <v>788</v>
      </c>
      <c r="C295" s="2">
        <v>44348</v>
      </c>
      <c r="D295" s="6">
        <f>700</f>
        <v>700</v>
      </c>
      <c r="E295" s="6">
        <v>840</v>
      </c>
      <c r="F295" s="1" t="s">
        <v>468</v>
      </c>
      <c r="G295" s="1" t="s">
        <v>1098</v>
      </c>
      <c r="H295" s="1" t="s">
        <v>1189</v>
      </c>
      <c r="I295" s="1" t="s">
        <v>1311</v>
      </c>
    </row>
    <row r="296" spans="1:9" x14ac:dyDescent="0.25">
      <c r="A296" s="1" t="s">
        <v>273</v>
      </c>
      <c r="B296" s="1" t="s">
        <v>789</v>
      </c>
      <c r="C296" s="2">
        <v>44348</v>
      </c>
      <c r="D296" s="6">
        <f>160</f>
        <v>160</v>
      </c>
      <c r="E296" s="6">
        <v>192</v>
      </c>
      <c r="F296" s="1" t="s">
        <v>468</v>
      </c>
      <c r="G296" s="1" t="s">
        <v>1098</v>
      </c>
      <c r="H296" s="1" t="s">
        <v>1189</v>
      </c>
      <c r="I296" s="1" t="s">
        <v>1451</v>
      </c>
    </row>
    <row r="297" spans="1:9" x14ac:dyDescent="0.25">
      <c r="A297" s="1" t="s">
        <v>274</v>
      </c>
      <c r="B297" s="1" t="s">
        <v>790</v>
      </c>
      <c r="C297" s="2">
        <v>44348</v>
      </c>
      <c r="D297" s="6">
        <f>112</f>
        <v>112</v>
      </c>
      <c r="E297" s="6">
        <v>134.4</v>
      </c>
      <c r="F297" s="1" t="s">
        <v>468</v>
      </c>
      <c r="G297" s="1" t="s">
        <v>1098</v>
      </c>
      <c r="H297" s="1" t="s">
        <v>1189</v>
      </c>
      <c r="I297" s="1" t="s">
        <v>1315</v>
      </c>
    </row>
    <row r="298" spans="1:9" x14ac:dyDescent="0.25">
      <c r="A298" s="1" t="s">
        <v>275</v>
      </c>
      <c r="B298" s="1" t="s">
        <v>791</v>
      </c>
      <c r="C298" s="2">
        <v>44348</v>
      </c>
      <c r="D298" s="6">
        <f>24</f>
        <v>24</v>
      </c>
      <c r="E298" s="6">
        <v>28.8</v>
      </c>
      <c r="F298" s="1" t="s">
        <v>468</v>
      </c>
      <c r="G298" s="1" t="s">
        <v>1098</v>
      </c>
      <c r="H298" s="1" t="s">
        <v>1189</v>
      </c>
      <c r="I298" s="1" t="s">
        <v>1322</v>
      </c>
    </row>
    <row r="299" spans="1:9" x14ac:dyDescent="0.25">
      <c r="A299" s="1" t="s">
        <v>276</v>
      </c>
      <c r="B299" s="1" t="s">
        <v>792</v>
      </c>
      <c r="C299" s="2">
        <v>44348</v>
      </c>
      <c r="D299" s="6">
        <f>19065.83</f>
        <v>19065.830000000002</v>
      </c>
      <c r="E299" s="6">
        <v>22879</v>
      </c>
      <c r="F299" s="1" t="s">
        <v>468</v>
      </c>
      <c r="G299" s="1" t="s">
        <v>1098</v>
      </c>
      <c r="H299" s="1" t="s">
        <v>1190</v>
      </c>
      <c r="I299" s="1" t="s">
        <v>1008</v>
      </c>
    </row>
    <row r="300" spans="1:9" x14ac:dyDescent="0.25">
      <c r="A300" s="1" t="s">
        <v>277</v>
      </c>
      <c r="B300" s="1" t="s">
        <v>793</v>
      </c>
      <c r="C300" s="2">
        <v>44348</v>
      </c>
      <c r="D300" s="6">
        <f>13390.83</f>
        <v>13390.83</v>
      </c>
      <c r="E300" s="6">
        <v>16069</v>
      </c>
      <c r="F300" s="1" t="s">
        <v>468</v>
      </c>
      <c r="G300" s="1" t="s">
        <v>1098</v>
      </c>
      <c r="H300" s="1" t="s">
        <v>1190</v>
      </c>
      <c r="I300" s="1" t="s">
        <v>1009</v>
      </c>
    </row>
    <row r="301" spans="1:9" x14ac:dyDescent="0.25">
      <c r="A301" s="1" t="s">
        <v>278</v>
      </c>
      <c r="B301" s="1" t="s">
        <v>794</v>
      </c>
      <c r="C301" s="2">
        <v>44348</v>
      </c>
      <c r="D301" s="6">
        <f>2909.63</f>
        <v>2909.63</v>
      </c>
      <c r="E301" s="6">
        <v>3491.56</v>
      </c>
      <c r="F301" s="1" t="s">
        <v>468</v>
      </c>
      <c r="G301" s="1" t="s">
        <v>1098</v>
      </c>
      <c r="H301" s="1" t="s">
        <v>1190</v>
      </c>
      <c r="I301" s="1" t="s">
        <v>1010</v>
      </c>
    </row>
    <row r="302" spans="1:9" x14ac:dyDescent="0.25">
      <c r="A302" s="1" t="s">
        <v>300</v>
      </c>
      <c r="B302" s="1" t="s">
        <v>816</v>
      </c>
      <c r="C302" s="2">
        <v>44356</v>
      </c>
      <c r="D302" s="6">
        <f>12311.67</f>
        <v>12311.67</v>
      </c>
      <c r="E302" s="6">
        <v>14774</v>
      </c>
      <c r="F302" s="1" t="s">
        <v>468</v>
      </c>
      <c r="G302" s="1" t="s">
        <v>1098</v>
      </c>
      <c r="H302" s="7" t="s">
        <v>1108</v>
      </c>
      <c r="I302" s="1" t="s">
        <v>1452</v>
      </c>
    </row>
    <row r="303" spans="1:9" x14ac:dyDescent="0.25">
      <c r="A303" s="1" t="s">
        <v>301</v>
      </c>
      <c r="B303" s="1" t="s">
        <v>817</v>
      </c>
      <c r="C303" s="2">
        <v>44356</v>
      </c>
      <c r="D303" s="6">
        <f>1201.67</f>
        <v>1201.67</v>
      </c>
      <c r="E303" s="6">
        <v>1442</v>
      </c>
      <c r="F303" s="1" t="s">
        <v>468</v>
      </c>
      <c r="G303" s="1" t="s">
        <v>1098</v>
      </c>
      <c r="H303" s="7" t="s">
        <v>1108</v>
      </c>
      <c r="I303" s="1" t="s">
        <v>1453</v>
      </c>
    </row>
    <row r="304" spans="1:9" x14ac:dyDescent="0.25">
      <c r="A304" s="1" t="s">
        <v>302</v>
      </c>
      <c r="B304" s="1" t="s">
        <v>818</v>
      </c>
      <c r="C304" s="2">
        <v>44357</v>
      </c>
      <c r="D304" s="6">
        <f>34.4</f>
        <v>34.4</v>
      </c>
      <c r="E304" s="6">
        <v>34.4</v>
      </c>
      <c r="F304" s="1" t="s">
        <v>468</v>
      </c>
      <c r="G304" s="1" t="s">
        <v>1098</v>
      </c>
      <c r="H304" s="7" t="s">
        <v>1108</v>
      </c>
      <c r="I304" s="1" t="s">
        <v>1454</v>
      </c>
    </row>
    <row r="305" spans="1:9" x14ac:dyDescent="0.25">
      <c r="A305" s="1" t="s">
        <v>303</v>
      </c>
      <c r="B305" s="1" t="s">
        <v>819</v>
      </c>
      <c r="C305" s="2">
        <v>44362</v>
      </c>
      <c r="D305" s="6">
        <f>Tabuľka1383132[[#This Row],[Suma s DPH]]</f>
        <v>16.5</v>
      </c>
      <c r="E305" s="6">
        <v>16.5</v>
      </c>
      <c r="F305" s="1" t="s">
        <v>469</v>
      </c>
      <c r="G305" s="4" t="s">
        <v>1100</v>
      </c>
      <c r="H305" s="11" t="s">
        <v>1100</v>
      </c>
      <c r="I305" s="1" t="s">
        <v>1940</v>
      </c>
    </row>
    <row r="306" spans="1:9" x14ac:dyDescent="0.25">
      <c r="A306" s="1" t="s">
        <v>304</v>
      </c>
      <c r="B306" s="1" t="s">
        <v>820</v>
      </c>
      <c r="C306" s="2">
        <v>44362</v>
      </c>
      <c r="D306" s="6">
        <f>Tabuľka1383132[[#This Row],[Suma s DPH]]</f>
        <v>16.5</v>
      </c>
      <c r="E306" s="6">
        <v>16.5</v>
      </c>
      <c r="F306" s="1" t="s">
        <v>469</v>
      </c>
      <c r="G306" s="4" t="s">
        <v>1100</v>
      </c>
      <c r="H306" s="4" t="s">
        <v>1100</v>
      </c>
      <c r="I306" s="1" t="s">
        <v>1940</v>
      </c>
    </row>
    <row r="307" spans="1:9" x14ac:dyDescent="0.25">
      <c r="A307" s="1" t="s">
        <v>305</v>
      </c>
      <c r="B307" s="1" t="s">
        <v>821</v>
      </c>
      <c r="C307" s="2">
        <v>44362</v>
      </c>
      <c r="D307" s="6">
        <f>Tabuľka1383132[[#This Row],[Suma s DPH]]</f>
        <v>16.5</v>
      </c>
      <c r="E307" s="6">
        <v>16.5</v>
      </c>
      <c r="F307" s="1" t="s">
        <v>469</v>
      </c>
      <c r="G307" s="4" t="s">
        <v>1100</v>
      </c>
      <c r="H307" s="4" t="s">
        <v>1100</v>
      </c>
      <c r="I307" s="1" t="s">
        <v>1940</v>
      </c>
    </row>
    <row r="308" spans="1:9" x14ac:dyDescent="0.25">
      <c r="A308" s="1" t="s">
        <v>306</v>
      </c>
      <c r="B308" s="1" t="s">
        <v>822</v>
      </c>
      <c r="C308" s="2">
        <v>44362</v>
      </c>
      <c r="D308" s="6">
        <f>Tabuľka1383132[[#This Row],[Suma s DPH]]</f>
        <v>16.5</v>
      </c>
      <c r="E308" s="6">
        <v>16.5</v>
      </c>
      <c r="F308" s="1" t="s">
        <v>469</v>
      </c>
      <c r="G308" s="4" t="s">
        <v>1100</v>
      </c>
      <c r="H308" s="4" t="s">
        <v>1100</v>
      </c>
      <c r="I308" s="1" t="s">
        <v>1940</v>
      </c>
    </row>
    <row r="309" spans="1:9" x14ac:dyDescent="0.25">
      <c r="A309" s="1" t="s">
        <v>307</v>
      </c>
      <c r="B309" s="1" t="s">
        <v>823</v>
      </c>
      <c r="C309" s="2">
        <v>44362</v>
      </c>
      <c r="D309" s="6">
        <f>Tabuľka1383132[[#This Row],[Suma s DPH]]</f>
        <v>16.5</v>
      </c>
      <c r="E309" s="6">
        <v>16.5</v>
      </c>
      <c r="F309" s="1" t="s">
        <v>469</v>
      </c>
      <c r="G309" s="4" t="s">
        <v>1100</v>
      </c>
      <c r="H309" s="4" t="s">
        <v>1100</v>
      </c>
      <c r="I309" s="1" t="s">
        <v>1940</v>
      </c>
    </row>
    <row r="310" spans="1:9" x14ac:dyDescent="0.25">
      <c r="A310" s="1" t="s">
        <v>308</v>
      </c>
      <c r="B310" s="1" t="s">
        <v>824</v>
      </c>
      <c r="C310" s="2">
        <v>44362</v>
      </c>
      <c r="D310" s="6">
        <f>Tabuľka1383132[[#This Row],[Suma s DPH]]</f>
        <v>16.5</v>
      </c>
      <c r="E310" s="6">
        <v>16.5</v>
      </c>
      <c r="F310" s="1" t="s">
        <v>469</v>
      </c>
      <c r="G310" s="4" t="s">
        <v>1100</v>
      </c>
      <c r="H310" s="4" t="s">
        <v>1100</v>
      </c>
      <c r="I310" s="1" t="s">
        <v>1940</v>
      </c>
    </row>
    <row r="311" spans="1:9" x14ac:dyDescent="0.25">
      <c r="A311" s="1" t="s">
        <v>309</v>
      </c>
      <c r="B311" s="1" t="s">
        <v>825</v>
      </c>
      <c r="C311" s="2">
        <v>44362</v>
      </c>
      <c r="D311" s="6">
        <f>Tabuľka1383132[[#This Row],[Suma s DPH]]</f>
        <v>16.5</v>
      </c>
      <c r="E311" s="6">
        <v>16.5</v>
      </c>
      <c r="F311" s="1" t="s">
        <v>469</v>
      </c>
      <c r="G311" s="4" t="s">
        <v>1100</v>
      </c>
      <c r="H311" s="4" t="s">
        <v>1100</v>
      </c>
      <c r="I311" s="1" t="s">
        <v>1940</v>
      </c>
    </row>
    <row r="312" spans="1:9" x14ac:dyDescent="0.25">
      <c r="A312" s="1" t="s">
        <v>310</v>
      </c>
      <c r="B312" s="1" t="s">
        <v>826</v>
      </c>
      <c r="C312" s="2">
        <v>44362</v>
      </c>
      <c r="D312" s="6">
        <f>Tabuľka1383132[[#This Row],[Suma s DPH]]</f>
        <v>16.5</v>
      </c>
      <c r="E312" s="6">
        <v>16.5</v>
      </c>
      <c r="F312" s="1" t="s">
        <v>469</v>
      </c>
      <c r="G312" s="4" t="s">
        <v>1100</v>
      </c>
      <c r="H312" s="4" t="s">
        <v>1100</v>
      </c>
      <c r="I312" s="1" t="s">
        <v>1940</v>
      </c>
    </row>
    <row r="313" spans="1:9" x14ac:dyDescent="0.25">
      <c r="A313" s="1" t="s">
        <v>311</v>
      </c>
      <c r="B313" s="1" t="s">
        <v>827</v>
      </c>
      <c r="C313" s="2">
        <v>44362</v>
      </c>
      <c r="D313" s="6">
        <f>Tabuľka1383132[[#This Row],[Suma s DPH]]</f>
        <v>16.5</v>
      </c>
      <c r="E313" s="6">
        <v>16.5</v>
      </c>
      <c r="F313" s="1" t="s">
        <v>469</v>
      </c>
      <c r="G313" s="4" t="s">
        <v>1100</v>
      </c>
      <c r="H313" s="4" t="s">
        <v>1100</v>
      </c>
      <c r="I313" s="1" t="s">
        <v>1940</v>
      </c>
    </row>
    <row r="314" spans="1:9" x14ac:dyDescent="0.25">
      <c r="A314" s="1" t="s">
        <v>312</v>
      </c>
      <c r="B314" s="1" t="s">
        <v>828</v>
      </c>
      <c r="C314" s="2">
        <v>44362</v>
      </c>
      <c r="D314" s="6">
        <f>Tabuľka1383132[[#This Row],[Suma s DPH]]</f>
        <v>16.5</v>
      </c>
      <c r="E314" s="6">
        <v>16.5</v>
      </c>
      <c r="F314" s="1" t="s">
        <v>469</v>
      </c>
      <c r="G314" s="4" t="s">
        <v>1100</v>
      </c>
      <c r="H314" s="4" t="s">
        <v>1100</v>
      </c>
      <c r="I314" s="1" t="s">
        <v>1940</v>
      </c>
    </row>
    <row r="315" spans="1:9" x14ac:dyDescent="0.25">
      <c r="A315" s="1" t="s">
        <v>313</v>
      </c>
      <c r="B315" s="1" t="s">
        <v>829</v>
      </c>
      <c r="C315" s="2">
        <v>44362</v>
      </c>
      <c r="D315" s="6">
        <f>Tabuľka1383132[[#This Row],[Suma s DPH]]</f>
        <v>16.5</v>
      </c>
      <c r="E315" s="6">
        <v>16.5</v>
      </c>
      <c r="F315" s="1" t="s">
        <v>469</v>
      </c>
      <c r="G315" s="4" t="s">
        <v>1100</v>
      </c>
      <c r="H315" s="4" t="s">
        <v>1100</v>
      </c>
      <c r="I315" s="1" t="s">
        <v>1940</v>
      </c>
    </row>
    <row r="316" spans="1:9" x14ac:dyDescent="0.25">
      <c r="A316" s="1" t="s">
        <v>314</v>
      </c>
      <c r="B316" s="1" t="s">
        <v>830</v>
      </c>
      <c r="C316" s="2">
        <v>44362</v>
      </c>
      <c r="D316" s="6">
        <f>Tabuľka1383132[[#This Row],[Suma s DPH]]</f>
        <v>16.5</v>
      </c>
      <c r="E316" s="6">
        <v>16.5</v>
      </c>
      <c r="F316" s="1" t="s">
        <v>469</v>
      </c>
      <c r="G316" s="4" t="s">
        <v>1100</v>
      </c>
      <c r="H316" s="4" t="s">
        <v>1100</v>
      </c>
      <c r="I316" s="1" t="s">
        <v>1940</v>
      </c>
    </row>
    <row r="317" spans="1:9" x14ac:dyDescent="0.25">
      <c r="A317" s="1" t="s">
        <v>315</v>
      </c>
      <c r="B317" s="1" t="s">
        <v>831</v>
      </c>
      <c r="C317" s="2">
        <v>44362</v>
      </c>
      <c r="D317" s="6">
        <f>Tabuľka1383132[[#This Row],[Suma s DPH]]</f>
        <v>16.5</v>
      </c>
      <c r="E317" s="6">
        <v>16.5</v>
      </c>
      <c r="F317" s="1" t="s">
        <v>469</v>
      </c>
      <c r="G317" s="4" t="s">
        <v>1100</v>
      </c>
      <c r="H317" s="4" t="s">
        <v>1100</v>
      </c>
      <c r="I317" s="1" t="s">
        <v>1940</v>
      </c>
    </row>
    <row r="318" spans="1:9" x14ac:dyDescent="0.25">
      <c r="A318" s="1" t="s">
        <v>316</v>
      </c>
      <c r="B318" s="1" t="s">
        <v>832</v>
      </c>
      <c r="C318" s="2">
        <v>44362</v>
      </c>
      <c r="D318" s="29">
        <f>-15.81</f>
        <v>-15.81</v>
      </c>
      <c r="E318" s="29">
        <v>-18.97</v>
      </c>
      <c r="F318" s="1" t="s">
        <v>468</v>
      </c>
      <c r="G318" s="1" t="s">
        <v>1098</v>
      </c>
      <c r="H318" s="7" t="s">
        <v>1108</v>
      </c>
      <c r="I318" s="1" t="s">
        <v>1455</v>
      </c>
    </row>
    <row r="319" spans="1:9" x14ac:dyDescent="0.25">
      <c r="A319" s="1" t="s">
        <v>317</v>
      </c>
      <c r="B319" s="1" t="s">
        <v>833</v>
      </c>
      <c r="C319" s="2">
        <v>44362</v>
      </c>
      <c r="D319" s="6">
        <f>1264.99</f>
        <v>1264.99</v>
      </c>
      <c r="E319" s="6">
        <v>1517.99</v>
      </c>
      <c r="F319" s="1" t="s">
        <v>468</v>
      </c>
      <c r="G319" s="1" t="s">
        <v>1098</v>
      </c>
      <c r="H319" s="7" t="s">
        <v>1108</v>
      </c>
      <c r="I319" s="1" t="s">
        <v>1456</v>
      </c>
    </row>
    <row r="320" spans="1:9" x14ac:dyDescent="0.25">
      <c r="A320" s="1" t="s">
        <v>318</v>
      </c>
      <c r="B320" s="1" t="s">
        <v>834</v>
      </c>
      <c r="C320" s="2">
        <v>44362</v>
      </c>
      <c r="D320" s="6">
        <f>100.45</f>
        <v>100.45</v>
      </c>
      <c r="E320" s="6">
        <v>120.54</v>
      </c>
      <c r="F320" s="1" t="s">
        <v>468</v>
      </c>
      <c r="G320" s="1" t="s">
        <v>1098</v>
      </c>
      <c r="H320" s="7" t="s">
        <v>1108</v>
      </c>
      <c r="I320" s="1" t="s">
        <v>1457</v>
      </c>
    </row>
    <row r="321" spans="1:9" x14ac:dyDescent="0.25">
      <c r="A321" s="1" t="s">
        <v>319</v>
      </c>
      <c r="B321" s="1" t="s">
        <v>835</v>
      </c>
      <c r="C321" s="2">
        <v>44362</v>
      </c>
      <c r="D321" s="6">
        <f>35</f>
        <v>35</v>
      </c>
      <c r="E321" s="6">
        <v>42</v>
      </c>
      <c r="F321" s="1" t="s">
        <v>470</v>
      </c>
      <c r="G321" s="1" t="s">
        <v>1101</v>
      </c>
      <c r="H321" s="1" t="s">
        <v>1102</v>
      </c>
      <c r="I321" s="1" t="s">
        <v>1458</v>
      </c>
    </row>
    <row r="322" spans="1:9" x14ac:dyDescent="0.25">
      <c r="A322" s="1" t="s">
        <v>320</v>
      </c>
      <c r="B322" s="1" t="s">
        <v>836</v>
      </c>
      <c r="C322" s="2">
        <v>44362</v>
      </c>
      <c r="D322" s="6">
        <f>8</f>
        <v>8</v>
      </c>
      <c r="E322" s="6">
        <v>9.6</v>
      </c>
      <c r="F322" s="1" t="s">
        <v>470</v>
      </c>
      <c r="G322" s="1" t="s">
        <v>1101</v>
      </c>
      <c r="H322" s="1" t="s">
        <v>1102</v>
      </c>
      <c r="I322" s="1" t="s">
        <v>1459</v>
      </c>
    </row>
    <row r="323" spans="1:9" x14ac:dyDescent="0.25">
      <c r="A323" s="1" t="s">
        <v>321</v>
      </c>
      <c r="B323" s="1" t="s">
        <v>837</v>
      </c>
      <c r="C323" s="2">
        <v>44362</v>
      </c>
      <c r="D323" s="6">
        <f>165.96</f>
        <v>165.96</v>
      </c>
      <c r="E323" s="6">
        <v>199.15</v>
      </c>
      <c r="F323" s="1" t="s">
        <v>466</v>
      </c>
      <c r="G323" s="1" t="s">
        <v>1105</v>
      </c>
      <c r="H323" s="1" t="s">
        <v>1106</v>
      </c>
      <c r="I323" s="1" t="s">
        <v>1367</v>
      </c>
    </row>
    <row r="324" spans="1:9" x14ac:dyDescent="0.25">
      <c r="A324" s="1" t="s">
        <v>322</v>
      </c>
      <c r="B324" s="1" t="s">
        <v>838</v>
      </c>
      <c r="C324" s="2">
        <v>44362</v>
      </c>
      <c r="D324" s="6">
        <f>264</f>
        <v>264</v>
      </c>
      <c r="E324" s="6">
        <v>316.8</v>
      </c>
      <c r="F324" s="1" t="s">
        <v>488</v>
      </c>
      <c r="G324" s="1" t="s">
        <v>1137</v>
      </c>
      <c r="H324" s="1" t="s">
        <v>1138</v>
      </c>
      <c r="I324" s="1" t="s">
        <v>1460</v>
      </c>
    </row>
    <row r="325" spans="1:9" x14ac:dyDescent="0.25">
      <c r="A325" s="1" t="s">
        <v>323</v>
      </c>
      <c r="B325" s="1" t="s">
        <v>839</v>
      </c>
      <c r="C325" s="2">
        <v>44364</v>
      </c>
      <c r="D325" s="6">
        <f>245.52</f>
        <v>245.52</v>
      </c>
      <c r="E325" s="6">
        <v>294.63</v>
      </c>
      <c r="F325" s="1" t="s">
        <v>468</v>
      </c>
      <c r="G325" s="1" t="s">
        <v>1098</v>
      </c>
      <c r="H325" s="7" t="s">
        <v>1108</v>
      </c>
      <c r="I325" s="1" t="s">
        <v>1461</v>
      </c>
    </row>
    <row r="326" spans="1:9" x14ac:dyDescent="0.25">
      <c r="A326" s="1" t="s">
        <v>324</v>
      </c>
      <c r="B326" s="1" t="s">
        <v>840</v>
      </c>
      <c r="C326" s="2">
        <v>44364</v>
      </c>
      <c r="D326" s="6">
        <f>823.06</f>
        <v>823.06</v>
      </c>
      <c r="E326" s="6">
        <v>987.67</v>
      </c>
      <c r="F326" s="1" t="s">
        <v>468</v>
      </c>
      <c r="G326" s="1" t="s">
        <v>1098</v>
      </c>
      <c r="H326" s="1" t="s">
        <v>1194</v>
      </c>
      <c r="I326" s="1" t="s">
        <v>1462</v>
      </c>
    </row>
    <row r="327" spans="1:9" x14ac:dyDescent="0.25">
      <c r="A327" s="1" t="s">
        <v>325</v>
      </c>
      <c r="B327" s="1" t="s">
        <v>841</v>
      </c>
      <c r="C327" s="2">
        <v>44364</v>
      </c>
      <c r="D327" s="6">
        <f>309.4</f>
        <v>309.39999999999998</v>
      </c>
      <c r="E327" s="6">
        <v>371.28</v>
      </c>
      <c r="F327" s="1" t="s">
        <v>468</v>
      </c>
      <c r="G327" s="1" t="s">
        <v>1098</v>
      </c>
      <c r="H327" s="7" t="s">
        <v>1108</v>
      </c>
      <c r="I327" s="1" t="s">
        <v>1264</v>
      </c>
    </row>
    <row r="328" spans="1:9" x14ac:dyDescent="0.25">
      <c r="A328" s="1" t="s">
        <v>326</v>
      </c>
      <c r="B328" s="1" t="s">
        <v>842</v>
      </c>
      <c r="C328" s="2">
        <v>44364</v>
      </c>
      <c r="D328" s="6">
        <f>146.8</f>
        <v>146.80000000000001</v>
      </c>
      <c r="E328" s="6">
        <v>176.16</v>
      </c>
      <c r="F328" s="1" t="s">
        <v>468</v>
      </c>
      <c r="G328" s="1" t="s">
        <v>1098</v>
      </c>
      <c r="H328" s="7" t="s">
        <v>1108</v>
      </c>
      <c r="I328" s="1" t="s">
        <v>1463</v>
      </c>
    </row>
    <row r="329" spans="1:9" x14ac:dyDescent="0.25">
      <c r="A329" s="1" t="s">
        <v>327</v>
      </c>
      <c r="B329" s="1" t="s">
        <v>843</v>
      </c>
      <c r="C329" s="2">
        <v>44364</v>
      </c>
      <c r="D329" s="6">
        <f>125.77</f>
        <v>125.77</v>
      </c>
      <c r="E329" s="6">
        <v>150.93</v>
      </c>
      <c r="F329" s="1" t="s">
        <v>468</v>
      </c>
      <c r="G329" s="1" t="s">
        <v>1098</v>
      </c>
      <c r="H329" s="1" t="s">
        <v>1981</v>
      </c>
      <c r="I329" s="1" t="s">
        <v>1464</v>
      </c>
    </row>
    <row r="330" spans="1:9" x14ac:dyDescent="0.25">
      <c r="A330" s="1" t="s">
        <v>328</v>
      </c>
      <c r="B330" s="1" t="s">
        <v>844</v>
      </c>
      <c r="C330" s="2">
        <v>44364</v>
      </c>
      <c r="D330" s="6">
        <f>43</f>
        <v>43</v>
      </c>
      <c r="E330" s="6">
        <v>51.6</v>
      </c>
      <c r="F330" s="1" t="s">
        <v>468</v>
      </c>
      <c r="G330" s="1" t="s">
        <v>1098</v>
      </c>
      <c r="H330" s="7" t="s">
        <v>1108</v>
      </c>
      <c r="I330" s="1" t="s">
        <v>1465</v>
      </c>
    </row>
    <row r="331" spans="1:9" x14ac:dyDescent="0.25">
      <c r="A331" s="1" t="s">
        <v>329</v>
      </c>
      <c r="B331" s="1" t="s">
        <v>845</v>
      </c>
      <c r="C331" s="2">
        <v>44364</v>
      </c>
      <c r="D331" s="6">
        <f>9560.8</f>
        <v>9560.7999999999993</v>
      </c>
      <c r="E331" s="6">
        <v>11472.96</v>
      </c>
      <c r="F331" s="1" t="s">
        <v>468</v>
      </c>
      <c r="G331" s="1" t="s">
        <v>1098</v>
      </c>
      <c r="H331" s="1" t="s">
        <v>1189</v>
      </c>
      <c r="I331" s="1" t="s">
        <v>1466</v>
      </c>
    </row>
    <row r="332" spans="1:9" x14ac:dyDescent="0.25">
      <c r="A332" s="1" t="s">
        <v>330</v>
      </c>
      <c r="B332" s="1" t="s">
        <v>846</v>
      </c>
      <c r="C332" s="2">
        <v>44364</v>
      </c>
      <c r="D332" s="6">
        <f>Tabuľka1383132[[#This Row],[Suma s DPH]]/120*100</f>
        <v>25968.533333333333</v>
      </c>
      <c r="E332" s="6">
        <v>31162.240000000002</v>
      </c>
      <c r="F332" s="1" t="s">
        <v>475</v>
      </c>
      <c r="G332" s="1" t="s">
        <v>1115</v>
      </c>
      <c r="H332" s="1" t="s">
        <v>1116</v>
      </c>
      <c r="I332" s="1" t="s">
        <v>1345</v>
      </c>
    </row>
    <row r="333" spans="1:9" x14ac:dyDescent="0.25">
      <c r="A333" s="1" t="s">
        <v>331</v>
      </c>
      <c r="B333" s="1" t="s">
        <v>847</v>
      </c>
      <c r="C333" s="2">
        <v>44364</v>
      </c>
      <c r="D333" s="6">
        <f t="shared" ref="D333:D348" si="1">16.5</f>
        <v>16.5</v>
      </c>
      <c r="E333" s="6">
        <v>19.8</v>
      </c>
      <c r="F333" s="1" t="s">
        <v>479</v>
      </c>
      <c r="G333" s="1" t="s">
        <v>1124</v>
      </c>
      <c r="H333" s="22" t="s">
        <v>1978</v>
      </c>
      <c r="I333" s="1" t="s">
        <v>1942</v>
      </c>
    </row>
    <row r="334" spans="1:9" x14ac:dyDescent="0.25">
      <c r="A334" s="1" t="s">
        <v>332</v>
      </c>
      <c r="B334" s="1" t="s">
        <v>848</v>
      </c>
      <c r="C334" s="2">
        <v>44364</v>
      </c>
      <c r="D334" s="6">
        <f t="shared" si="1"/>
        <v>16.5</v>
      </c>
      <c r="E334" s="6">
        <v>19.8</v>
      </c>
      <c r="F334" s="1" t="s">
        <v>479</v>
      </c>
      <c r="G334" s="1" t="s">
        <v>1124</v>
      </c>
      <c r="H334" s="22" t="s">
        <v>1978</v>
      </c>
      <c r="I334" s="1" t="s">
        <v>1942</v>
      </c>
    </row>
    <row r="335" spans="1:9" x14ac:dyDescent="0.25">
      <c r="A335" s="1" t="s">
        <v>333</v>
      </c>
      <c r="B335" s="1" t="s">
        <v>849</v>
      </c>
      <c r="C335" s="2">
        <v>44364</v>
      </c>
      <c r="D335" s="6">
        <f t="shared" si="1"/>
        <v>16.5</v>
      </c>
      <c r="E335" s="6">
        <v>19.8</v>
      </c>
      <c r="F335" s="1" t="s">
        <v>479</v>
      </c>
      <c r="G335" s="1" t="s">
        <v>1124</v>
      </c>
      <c r="H335" s="22" t="s">
        <v>1978</v>
      </c>
      <c r="I335" s="1" t="s">
        <v>1942</v>
      </c>
    </row>
    <row r="336" spans="1:9" x14ac:dyDescent="0.25">
      <c r="A336" s="1" t="s">
        <v>334</v>
      </c>
      <c r="B336" s="1" t="s">
        <v>850</v>
      </c>
      <c r="C336" s="2">
        <v>44364</v>
      </c>
      <c r="D336" s="6">
        <f t="shared" si="1"/>
        <v>16.5</v>
      </c>
      <c r="E336" s="6">
        <v>19.8</v>
      </c>
      <c r="F336" s="1" t="s">
        <v>479</v>
      </c>
      <c r="G336" s="1" t="s">
        <v>1124</v>
      </c>
      <c r="H336" s="22" t="s">
        <v>1978</v>
      </c>
      <c r="I336" s="1" t="s">
        <v>1942</v>
      </c>
    </row>
    <row r="337" spans="1:9" x14ac:dyDescent="0.25">
      <c r="A337" s="1" t="s">
        <v>335</v>
      </c>
      <c r="B337" s="1" t="s">
        <v>851</v>
      </c>
      <c r="C337" s="2">
        <v>44364</v>
      </c>
      <c r="D337" s="6">
        <f t="shared" si="1"/>
        <v>16.5</v>
      </c>
      <c r="E337" s="6">
        <v>19.8</v>
      </c>
      <c r="F337" s="1" t="s">
        <v>479</v>
      </c>
      <c r="G337" s="1" t="s">
        <v>1124</v>
      </c>
      <c r="H337" s="22" t="s">
        <v>1978</v>
      </c>
      <c r="I337" s="1" t="s">
        <v>1942</v>
      </c>
    </row>
    <row r="338" spans="1:9" x14ac:dyDescent="0.25">
      <c r="A338" s="1" t="s">
        <v>336</v>
      </c>
      <c r="B338" s="1" t="s">
        <v>852</v>
      </c>
      <c r="C338" s="2">
        <v>44364</v>
      </c>
      <c r="D338" s="6">
        <f t="shared" si="1"/>
        <v>16.5</v>
      </c>
      <c r="E338" s="6">
        <v>19.8</v>
      </c>
      <c r="F338" s="1" t="s">
        <v>479</v>
      </c>
      <c r="G338" s="1" t="s">
        <v>1124</v>
      </c>
      <c r="H338" s="22" t="s">
        <v>1978</v>
      </c>
      <c r="I338" s="1" t="s">
        <v>1942</v>
      </c>
    </row>
    <row r="339" spans="1:9" x14ac:dyDescent="0.25">
      <c r="A339" s="1" t="s">
        <v>337</v>
      </c>
      <c r="B339" s="1" t="s">
        <v>853</v>
      </c>
      <c r="C339" s="2">
        <v>44364</v>
      </c>
      <c r="D339" s="6">
        <f t="shared" si="1"/>
        <v>16.5</v>
      </c>
      <c r="E339" s="6">
        <v>19.8</v>
      </c>
      <c r="F339" s="1" t="s">
        <v>479</v>
      </c>
      <c r="G339" s="1" t="s">
        <v>1124</v>
      </c>
      <c r="H339" s="22" t="s">
        <v>1977</v>
      </c>
      <c r="I339" s="1" t="s">
        <v>1942</v>
      </c>
    </row>
    <row r="340" spans="1:9" x14ac:dyDescent="0.25">
      <c r="A340" s="1" t="s">
        <v>338</v>
      </c>
      <c r="B340" s="1" t="s">
        <v>854</v>
      </c>
      <c r="C340" s="2">
        <v>44364</v>
      </c>
      <c r="D340" s="6">
        <f t="shared" si="1"/>
        <v>16.5</v>
      </c>
      <c r="E340" s="6">
        <v>19.8</v>
      </c>
      <c r="F340" s="1" t="s">
        <v>479</v>
      </c>
      <c r="G340" s="1" t="s">
        <v>1124</v>
      </c>
      <c r="H340" s="22" t="s">
        <v>1977</v>
      </c>
      <c r="I340" s="1" t="s">
        <v>1942</v>
      </c>
    </row>
    <row r="341" spans="1:9" x14ac:dyDescent="0.25">
      <c r="A341" s="1" t="s">
        <v>339</v>
      </c>
      <c r="B341" s="1" t="s">
        <v>855</v>
      </c>
      <c r="C341" s="2">
        <v>44364</v>
      </c>
      <c r="D341" s="6">
        <f t="shared" si="1"/>
        <v>16.5</v>
      </c>
      <c r="E341" s="6">
        <v>19.8</v>
      </c>
      <c r="F341" s="1" t="s">
        <v>479</v>
      </c>
      <c r="G341" s="1" t="s">
        <v>1124</v>
      </c>
      <c r="H341" s="22" t="s">
        <v>1977</v>
      </c>
      <c r="I341" s="1" t="s">
        <v>1942</v>
      </c>
    </row>
    <row r="342" spans="1:9" x14ac:dyDescent="0.25">
      <c r="A342" s="1" t="s">
        <v>340</v>
      </c>
      <c r="B342" s="1" t="s">
        <v>856</v>
      </c>
      <c r="C342" s="2">
        <v>44364</v>
      </c>
      <c r="D342" s="6">
        <f t="shared" si="1"/>
        <v>16.5</v>
      </c>
      <c r="E342" s="6">
        <v>19.8</v>
      </c>
      <c r="F342" s="1" t="s">
        <v>479</v>
      </c>
      <c r="G342" s="1" t="s">
        <v>1124</v>
      </c>
      <c r="H342" s="22" t="s">
        <v>1977</v>
      </c>
      <c r="I342" s="1" t="s">
        <v>1942</v>
      </c>
    </row>
    <row r="343" spans="1:9" x14ac:dyDescent="0.25">
      <c r="A343" s="1" t="s">
        <v>341</v>
      </c>
      <c r="B343" s="1" t="s">
        <v>857</v>
      </c>
      <c r="C343" s="2">
        <v>44364</v>
      </c>
      <c r="D343" s="6">
        <f t="shared" si="1"/>
        <v>16.5</v>
      </c>
      <c r="E343" s="6">
        <v>19.8</v>
      </c>
      <c r="F343" s="1" t="s">
        <v>479</v>
      </c>
      <c r="G343" s="1" t="s">
        <v>1124</v>
      </c>
      <c r="H343" s="22" t="s">
        <v>1977</v>
      </c>
      <c r="I343" s="1" t="s">
        <v>1942</v>
      </c>
    </row>
    <row r="344" spans="1:9" x14ac:dyDescent="0.25">
      <c r="A344" s="1" t="s">
        <v>342</v>
      </c>
      <c r="B344" s="1" t="s">
        <v>858</v>
      </c>
      <c r="C344" s="2">
        <v>44364</v>
      </c>
      <c r="D344" s="6">
        <f t="shared" si="1"/>
        <v>16.5</v>
      </c>
      <c r="E344" s="6">
        <v>19.8</v>
      </c>
      <c r="F344" s="1" t="s">
        <v>479</v>
      </c>
      <c r="G344" s="1" t="s">
        <v>1124</v>
      </c>
      <c r="H344" s="22" t="s">
        <v>1977</v>
      </c>
      <c r="I344" s="1" t="s">
        <v>1942</v>
      </c>
    </row>
    <row r="345" spans="1:9" x14ac:dyDescent="0.25">
      <c r="A345" s="1" t="s">
        <v>343</v>
      </c>
      <c r="B345" s="1" t="s">
        <v>859</v>
      </c>
      <c r="C345" s="2">
        <v>44364</v>
      </c>
      <c r="D345" s="6">
        <f t="shared" si="1"/>
        <v>16.5</v>
      </c>
      <c r="E345" s="6">
        <v>19.8</v>
      </c>
      <c r="F345" s="1" t="s">
        <v>479</v>
      </c>
      <c r="G345" s="1" t="s">
        <v>1124</v>
      </c>
      <c r="H345" s="22" t="s">
        <v>1976</v>
      </c>
      <c r="I345" s="1" t="s">
        <v>1942</v>
      </c>
    </row>
    <row r="346" spans="1:9" x14ac:dyDescent="0.25">
      <c r="A346" s="1" t="s">
        <v>344</v>
      </c>
      <c r="B346" s="1" t="s">
        <v>860</v>
      </c>
      <c r="C346" s="2">
        <v>44364</v>
      </c>
      <c r="D346" s="6">
        <f t="shared" si="1"/>
        <v>16.5</v>
      </c>
      <c r="E346" s="6">
        <v>19.8</v>
      </c>
      <c r="F346" s="1" t="s">
        <v>479</v>
      </c>
      <c r="G346" s="1" t="s">
        <v>1124</v>
      </c>
      <c r="H346" s="22" t="s">
        <v>1976</v>
      </c>
      <c r="I346" s="1" t="s">
        <v>1942</v>
      </c>
    </row>
    <row r="347" spans="1:9" x14ac:dyDescent="0.25">
      <c r="A347" s="1" t="s">
        <v>345</v>
      </c>
      <c r="B347" s="1" t="s">
        <v>861</v>
      </c>
      <c r="C347" s="2">
        <v>44364</v>
      </c>
      <c r="D347" s="6">
        <f t="shared" si="1"/>
        <v>16.5</v>
      </c>
      <c r="E347" s="6">
        <v>19.8</v>
      </c>
      <c r="F347" s="1" t="s">
        <v>479</v>
      </c>
      <c r="G347" s="1" t="s">
        <v>1124</v>
      </c>
      <c r="H347" s="22" t="s">
        <v>1976</v>
      </c>
      <c r="I347" s="1" t="s">
        <v>1942</v>
      </c>
    </row>
    <row r="348" spans="1:9" x14ac:dyDescent="0.25">
      <c r="A348" s="1" t="s">
        <v>346</v>
      </c>
      <c r="B348" s="1" t="s">
        <v>862</v>
      </c>
      <c r="C348" s="2">
        <v>44364</v>
      </c>
      <c r="D348" s="6">
        <f t="shared" si="1"/>
        <v>16.5</v>
      </c>
      <c r="E348" s="6">
        <v>19.8</v>
      </c>
      <c r="F348" s="1" t="s">
        <v>479</v>
      </c>
      <c r="G348" s="1" t="s">
        <v>1124</v>
      </c>
      <c r="H348" s="22" t="s">
        <v>1976</v>
      </c>
      <c r="I348" s="1" t="s">
        <v>1942</v>
      </c>
    </row>
    <row r="349" spans="1:9" x14ac:dyDescent="0.25">
      <c r="A349" s="1" t="s">
        <v>347</v>
      </c>
      <c r="B349" s="1" t="s">
        <v>863</v>
      </c>
      <c r="C349" s="2">
        <v>44370</v>
      </c>
      <c r="D349" s="6">
        <f>50.76</f>
        <v>50.76</v>
      </c>
      <c r="E349" s="6">
        <v>60.9</v>
      </c>
      <c r="F349" s="1" t="s">
        <v>467</v>
      </c>
      <c r="G349" s="1" t="s">
        <v>1099</v>
      </c>
      <c r="H349" s="1" t="s">
        <v>1117</v>
      </c>
      <c r="I349" s="1" t="s">
        <v>1299</v>
      </c>
    </row>
    <row r="350" spans="1:9" x14ac:dyDescent="0.25">
      <c r="A350" s="1" t="s">
        <v>348</v>
      </c>
      <c r="B350" s="1" t="s">
        <v>864</v>
      </c>
      <c r="C350" s="2">
        <v>44370</v>
      </c>
      <c r="D350" s="6">
        <f>Tabuľka1383132[[#This Row],[Suma s DPH]]</f>
        <v>2450</v>
      </c>
      <c r="E350" s="6">
        <v>2450</v>
      </c>
      <c r="F350" s="1" t="s">
        <v>482</v>
      </c>
      <c r="G350" s="7" t="s">
        <v>1128</v>
      </c>
      <c r="H350" s="7" t="s">
        <v>1108</v>
      </c>
      <c r="I350" s="1" t="s">
        <v>1467</v>
      </c>
    </row>
    <row r="351" spans="1:9" x14ac:dyDescent="0.25">
      <c r="A351" s="1" t="s">
        <v>349</v>
      </c>
      <c r="B351" s="1" t="s">
        <v>865</v>
      </c>
      <c r="C351" s="2">
        <v>44370</v>
      </c>
      <c r="D351" s="6">
        <f>3403.33</f>
        <v>3403.33</v>
      </c>
      <c r="E351" s="6">
        <v>4084</v>
      </c>
      <c r="F351" s="1" t="s">
        <v>468</v>
      </c>
      <c r="G351" s="1" t="s">
        <v>1098</v>
      </c>
      <c r="H351" s="7" t="s">
        <v>1108</v>
      </c>
      <c r="I351" s="1" t="s">
        <v>1468</v>
      </c>
    </row>
    <row r="352" spans="1:9" x14ac:dyDescent="0.25">
      <c r="A352" s="1" t="s">
        <v>350</v>
      </c>
      <c r="B352" s="1" t="s">
        <v>866</v>
      </c>
      <c r="C352" s="2">
        <v>44375</v>
      </c>
      <c r="D352" s="6">
        <f>Tabuľka1383132[[#This Row],[Suma s DPH]]</f>
        <v>1062.5</v>
      </c>
      <c r="E352" s="6">
        <v>1062.5</v>
      </c>
      <c r="F352" s="1" t="s">
        <v>469</v>
      </c>
      <c r="G352" s="4" t="s">
        <v>1100</v>
      </c>
      <c r="H352" s="4" t="s">
        <v>1100</v>
      </c>
      <c r="I352" s="1" t="s">
        <v>1940</v>
      </c>
    </row>
    <row r="353" spans="1:9" x14ac:dyDescent="0.25">
      <c r="A353" s="1" t="s">
        <v>351</v>
      </c>
      <c r="B353" s="1" t="s">
        <v>867</v>
      </c>
      <c r="C353" s="2">
        <v>44375</v>
      </c>
      <c r="D353" s="6">
        <f>1765.6</f>
        <v>1765.6</v>
      </c>
      <c r="E353" s="6">
        <v>2118.7199999999998</v>
      </c>
      <c r="F353" s="1" t="s">
        <v>468</v>
      </c>
      <c r="G353" s="1" t="s">
        <v>1098</v>
      </c>
      <c r="H353" s="7" t="s">
        <v>1108</v>
      </c>
      <c r="I353" s="1" t="s">
        <v>1469</v>
      </c>
    </row>
    <row r="354" spans="1:9" x14ac:dyDescent="0.25">
      <c r="A354" s="1" t="s">
        <v>352</v>
      </c>
      <c r="B354" s="1" t="s">
        <v>868</v>
      </c>
      <c r="C354" s="2">
        <v>44375</v>
      </c>
      <c r="D354" s="6">
        <f>24</f>
        <v>24</v>
      </c>
      <c r="E354" s="6">
        <v>24</v>
      </c>
      <c r="F354" s="1" t="s">
        <v>495</v>
      </c>
      <c r="G354" s="1" t="s">
        <v>1198</v>
      </c>
      <c r="H354" s="1" t="s">
        <v>1193</v>
      </c>
      <c r="I354" s="1" t="s">
        <v>1012</v>
      </c>
    </row>
    <row r="355" spans="1:9" x14ac:dyDescent="0.25">
      <c r="A355" s="1" t="s">
        <v>353</v>
      </c>
      <c r="B355" s="1" t="s">
        <v>869</v>
      </c>
      <c r="C355" s="2">
        <v>44377</v>
      </c>
      <c r="D355" s="6">
        <f>60</f>
        <v>60</v>
      </c>
      <c r="E355" s="6">
        <v>72</v>
      </c>
      <c r="F355" s="1" t="s">
        <v>490</v>
      </c>
      <c r="G355" s="1" t="s">
        <v>1139</v>
      </c>
      <c r="H355" s="4" t="s">
        <v>1100</v>
      </c>
      <c r="I355" s="1" t="s">
        <v>1951</v>
      </c>
    </row>
    <row r="356" spans="1:9" x14ac:dyDescent="0.25">
      <c r="A356" s="1" t="s">
        <v>354</v>
      </c>
      <c r="B356" s="1" t="s">
        <v>870</v>
      </c>
      <c r="C356" s="2">
        <v>44377</v>
      </c>
      <c r="D356" s="6">
        <f>35</f>
        <v>35</v>
      </c>
      <c r="E356" s="6">
        <v>42</v>
      </c>
      <c r="F356" s="1" t="s">
        <v>479</v>
      </c>
      <c r="G356" s="1" t="s">
        <v>1124</v>
      </c>
      <c r="H356" s="4" t="s">
        <v>1100</v>
      </c>
      <c r="I356" s="1" t="s">
        <v>1952</v>
      </c>
    </row>
    <row r="357" spans="1:9" x14ac:dyDescent="0.25">
      <c r="A357" s="1" t="s">
        <v>355</v>
      </c>
      <c r="B357" s="1" t="s">
        <v>871</v>
      </c>
      <c r="C357" s="2">
        <v>44377</v>
      </c>
      <c r="D357" s="6">
        <f>407.99</f>
        <v>407.99</v>
      </c>
      <c r="E357" s="6">
        <v>489.59</v>
      </c>
      <c r="F357" s="1" t="s">
        <v>468</v>
      </c>
      <c r="G357" s="1" t="s">
        <v>1098</v>
      </c>
      <c r="H357" s="7" t="s">
        <v>1108</v>
      </c>
      <c r="I357" s="1" t="s">
        <v>1470</v>
      </c>
    </row>
    <row r="358" spans="1:9" x14ac:dyDescent="0.25">
      <c r="A358" s="1" t="s">
        <v>356</v>
      </c>
      <c r="B358" s="1" t="s">
        <v>872</v>
      </c>
      <c r="C358" s="2">
        <v>44377</v>
      </c>
      <c r="D358" s="6">
        <f>18.48</f>
        <v>18.48</v>
      </c>
      <c r="E358" s="6">
        <v>22.18</v>
      </c>
      <c r="F358" s="1" t="s">
        <v>468</v>
      </c>
      <c r="G358" s="1" t="s">
        <v>1098</v>
      </c>
      <c r="H358" s="7" t="s">
        <v>1108</v>
      </c>
      <c r="I358" s="1" t="s">
        <v>1471</v>
      </c>
    </row>
    <row r="359" spans="1:9" x14ac:dyDescent="0.25">
      <c r="A359" s="1" t="s">
        <v>357</v>
      </c>
      <c r="B359" s="1" t="s">
        <v>873</v>
      </c>
      <c r="C359" s="2">
        <v>44377</v>
      </c>
      <c r="D359" s="6">
        <f>15.95</f>
        <v>15.95</v>
      </c>
      <c r="E359" s="6">
        <v>19.14</v>
      </c>
      <c r="F359" s="1" t="s">
        <v>468</v>
      </c>
      <c r="G359" s="1" t="s">
        <v>1098</v>
      </c>
      <c r="H359" s="7" t="s">
        <v>1108</v>
      </c>
      <c r="I359" s="1" t="s">
        <v>1472</v>
      </c>
    </row>
    <row r="360" spans="1:9" x14ac:dyDescent="0.25">
      <c r="A360" s="1" t="s">
        <v>358</v>
      </c>
      <c r="B360" s="1" t="s">
        <v>874</v>
      </c>
      <c r="C360" s="2">
        <v>44377</v>
      </c>
      <c r="D360" s="29">
        <f>-21.22</f>
        <v>-21.22</v>
      </c>
      <c r="E360" s="29">
        <v>-25.47</v>
      </c>
      <c r="F360" s="1" t="s">
        <v>468</v>
      </c>
      <c r="G360" s="1" t="s">
        <v>1098</v>
      </c>
      <c r="H360" s="7" t="s">
        <v>1108</v>
      </c>
      <c r="I360" s="1" t="s">
        <v>1472</v>
      </c>
    </row>
    <row r="361" spans="1:9" x14ac:dyDescent="0.25">
      <c r="A361" s="1" t="s">
        <v>359</v>
      </c>
      <c r="B361" s="1" t="s">
        <v>875</v>
      </c>
      <c r="C361" s="2">
        <v>44377</v>
      </c>
      <c r="D361" s="6">
        <f>19089</f>
        <v>19089</v>
      </c>
      <c r="E361" s="6">
        <v>22906.799999999999</v>
      </c>
      <c r="F361" s="1" t="s">
        <v>468</v>
      </c>
      <c r="G361" s="1" t="s">
        <v>1098</v>
      </c>
      <c r="H361" s="1" t="s">
        <v>1189</v>
      </c>
      <c r="I361" s="1" t="s">
        <v>1307</v>
      </c>
    </row>
    <row r="362" spans="1:9" x14ac:dyDescent="0.25">
      <c r="A362" s="1" t="s">
        <v>360</v>
      </c>
      <c r="B362" s="1" t="s">
        <v>876</v>
      </c>
      <c r="C362" s="2">
        <v>44377</v>
      </c>
      <c r="D362" s="6">
        <f>700</f>
        <v>700</v>
      </c>
      <c r="E362" s="6">
        <v>840</v>
      </c>
      <c r="F362" s="1" t="s">
        <v>468</v>
      </c>
      <c r="G362" s="1" t="s">
        <v>1098</v>
      </c>
      <c r="H362" s="1" t="s">
        <v>1189</v>
      </c>
      <c r="I362" s="1" t="s">
        <v>1312</v>
      </c>
    </row>
    <row r="363" spans="1:9" x14ac:dyDescent="0.25">
      <c r="A363" s="1" t="s">
        <v>361</v>
      </c>
      <c r="B363" s="1" t="s">
        <v>877</v>
      </c>
      <c r="C363" s="2">
        <v>44377</v>
      </c>
      <c r="D363" s="6">
        <f>160</f>
        <v>160</v>
      </c>
      <c r="E363" s="6">
        <v>192</v>
      </c>
      <c r="F363" s="1" t="s">
        <v>468</v>
      </c>
      <c r="G363" s="1" t="s">
        <v>1098</v>
      </c>
      <c r="H363" s="1" t="s">
        <v>1189</v>
      </c>
      <c r="I363" s="1" t="s">
        <v>1473</v>
      </c>
    </row>
    <row r="364" spans="1:9" x14ac:dyDescent="0.25">
      <c r="A364" s="1" t="s">
        <v>362</v>
      </c>
      <c r="B364" s="1" t="s">
        <v>878</v>
      </c>
      <c r="C364" s="2">
        <v>44377</v>
      </c>
      <c r="D364" s="6">
        <f>112</f>
        <v>112</v>
      </c>
      <c r="E364" s="6">
        <v>134.4</v>
      </c>
      <c r="F364" s="1" t="s">
        <v>468</v>
      </c>
      <c r="G364" s="1" t="s">
        <v>1098</v>
      </c>
      <c r="H364" s="1" t="s">
        <v>1189</v>
      </c>
      <c r="I364" s="1" t="s">
        <v>1316</v>
      </c>
    </row>
    <row r="365" spans="1:9" x14ac:dyDescent="0.25">
      <c r="A365" s="1" t="s">
        <v>363</v>
      </c>
      <c r="B365" s="1" t="s">
        <v>879</v>
      </c>
      <c r="C365" s="2">
        <v>44377</v>
      </c>
      <c r="D365" s="6">
        <f>24</f>
        <v>24</v>
      </c>
      <c r="E365" s="6">
        <v>28.8</v>
      </c>
      <c r="F365" s="1" t="s">
        <v>468</v>
      </c>
      <c r="G365" s="1" t="s">
        <v>1098</v>
      </c>
      <c r="H365" s="1" t="s">
        <v>1189</v>
      </c>
      <c r="I365" s="1" t="s">
        <v>1323</v>
      </c>
    </row>
    <row r="366" spans="1:9" x14ac:dyDescent="0.25">
      <c r="A366" s="1" t="s">
        <v>364</v>
      </c>
      <c r="B366" s="1" t="s">
        <v>880</v>
      </c>
      <c r="C366" s="2">
        <v>44377</v>
      </c>
      <c r="D366" s="6">
        <f>19065.83</f>
        <v>19065.830000000002</v>
      </c>
      <c r="E366" s="6">
        <v>22879</v>
      </c>
      <c r="F366" s="1" t="s">
        <v>468</v>
      </c>
      <c r="G366" s="1" t="s">
        <v>1098</v>
      </c>
      <c r="H366" s="1" t="s">
        <v>1190</v>
      </c>
      <c r="I366" s="1" t="s">
        <v>1474</v>
      </c>
    </row>
    <row r="367" spans="1:9" x14ac:dyDescent="0.25">
      <c r="A367" s="1" t="s">
        <v>365</v>
      </c>
      <c r="B367" s="1" t="s">
        <v>881</v>
      </c>
      <c r="C367" s="2">
        <v>44377</v>
      </c>
      <c r="D367" s="6">
        <f>13390.83</f>
        <v>13390.83</v>
      </c>
      <c r="E367" s="6">
        <v>16069</v>
      </c>
      <c r="F367" s="1" t="s">
        <v>468</v>
      </c>
      <c r="G367" s="1" t="s">
        <v>1098</v>
      </c>
      <c r="H367" s="1" t="s">
        <v>1190</v>
      </c>
      <c r="I367" s="1" t="s">
        <v>1475</v>
      </c>
    </row>
    <row r="368" spans="1:9" x14ac:dyDescent="0.25">
      <c r="A368" s="1" t="s">
        <v>366</v>
      </c>
      <c r="B368" s="1" t="s">
        <v>882</v>
      </c>
      <c r="C368" s="2">
        <v>44377</v>
      </c>
      <c r="D368" s="6">
        <f>2909.63</f>
        <v>2909.63</v>
      </c>
      <c r="E368" s="6">
        <v>491.56</v>
      </c>
      <c r="F368" s="1" t="s">
        <v>468</v>
      </c>
      <c r="G368" s="1" t="s">
        <v>1098</v>
      </c>
      <c r="H368" s="1" t="s">
        <v>1190</v>
      </c>
      <c r="I368" s="1" t="s">
        <v>1476</v>
      </c>
    </row>
    <row r="369" spans="1:9" x14ac:dyDescent="0.25">
      <c r="A369" s="1" t="s">
        <v>464</v>
      </c>
      <c r="B369" s="1" t="s">
        <v>980</v>
      </c>
      <c r="C369" s="2">
        <v>44383</v>
      </c>
      <c r="D369" s="6">
        <f>286.39</f>
        <v>286.39</v>
      </c>
      <c r="E369" s="6">
        <v>343.67</v>
      </c>
      <c r="F369" s="1" t="s">
        <v>512</v>
      </c>
      <c r="G369" s="1" t="s">
        <v>1168</v>
      </c>
      <c r="H369" s="8" t="s">
        <v>1187</v>
      </c>
      <c r="I369" s="1" t="s">
        <v>1736</v>
      </c>
    </row>
    <row r="370" spans="1:9" x14ac:dyDescent="0.25">
      <c r="A370" s="1" t="s">
        <v>465</v>
      </c>
      <c r="B370" s="1" t="s">
        <v>981</v>
      </c>
      <c r="C370" s="2">
        <v>44383</v>
      </c>
      <c r="D370" s="6">
        <f>362.24</f>
        <v>362.24</v>
      </c>
      <c r="E370" s="6">
        <v>434.69</v>
      </c>
      <c r="F370" s="1" t="s">
        <v>512</v>
      </c>
      <c r="G370" s="1" t="s">
        <v>1168</v>
      </c>
      <c r="H370" s="1" t="s">
        <v>1188</v>
      </c>
      <c r="I370" s="1" t="s">
        <v>1737</v>
      </c>
    </row>
    <row r="371" spans="1:9" x14ac:dyDescent="0.25">
      <c r="A371" s="1" t="s">
        <v>367</v>
      </c>
      <c r="B371" s="1" t="s">
        <v>883</v>
      </c>
      <c r="C371" s="2">
        <v>44383</v>
      </c>
      <c r="D371" s="6">
        <f>1145</f>
        <v>1145</v>
      </c>
      <c r="E371" s="6">
        <v>1374</v>
      </c>
      <c r="F371" s="1" t="s">
        <v>496</v>
      </c>
      <c r="G371" s="7" t="s">
        <v>1186</v>
      </c>
      <c r="H371" s="7" t="s">
        <v>1182</v>
      </c>
      <c r="I371" s="1" t="s">
        <v>1477</v>
      </c>
    </row>
    <row r="372" spans="1:9" x14ac:dyDescent="0.25">
      <c r="A372" s="1" t="s">
        <v>368</v>
      </c>
      <c r="B372" s="1" t="s">
        <v>884</v>
      </c>
      <c r="C372" s="2">
        <v>44383</v>
      </c>
      <c r="D372" s="6">
        <f>584.17</f>
        <v>584.16999999999996</v>
      </c>
      <c r="E372" s="6">
        <v>701</v>
      </c>
      <c r="F372" s="1" t="s">
        <v>496</v>
      </c>
      <c r="G372" s="7" t="s">
        <v>1186</v>
      </c>
      <c r="H372" s="7" t="s">
        <v>1183</v>
      </c>
      <c r="I372" s="1" t="s">
        <v>1478</v>
      </c>
    </row>
    <row r="373" spans="1:9" x14ac:dyDescent="0.25">
      <c r="A373" s="1" t="s">
        <v>369</v>
      </c>
      <c r="B373" s="1" t="s">
        <v>885</v>
      </c>
      <c r="C373" s="2">
        <v>44386</v>
      </c>
      <c r="D373" s="25">
        <v>2453.7800000000002</v>
      </c>
      <c r="E373" s="12">
        <v>2453.7800000000002</v>
      </c>
      <c r="F373" s="1" t="s">
        <v>486</v>
      </c>
      <c r="G373" s="1" t="s">
        <v>1133</v>
      </c>
      <c r="H373" s="1" t="s">
        <v>1184</v>
      </c>
      <c r="I373" s="1" t="s">
        <v>1013</v>
      </c>
    </row>
    <row r="374" spans="1:9" x14ac:dyDescent="0.25">
      <c r="A374" s="1" t="s">
        <v>370</v>
      </c>
      <c r="B374" s="1" t="s">
        <v>886</v>
      </c>
      <c r="C374" s="2">
        <v>44386</v>
      </c>
      <c r="D374" s="25">
        <v>2770.04</v>
      </c>
      <c r="E374" s="12">
        <v>2770.04</v>
      </c>
      <c r="F374" s="1" t="s">
        <v>486</v>
      </c>
      <c r="G374" s="1" t="s">
        <v>1133</v>
      </c>
      <c r="H374" s="8" t="s">
        <v>1185</v>
      </c>
      <c r="I374" s="1" t="s">
        <v>1013</v>
      </c>
    </row>
    <row r="375" spans="1:9" x14ac:dyDescent="0.25">
      <c r="A375" s="1" t="s">
        <v>371</v>
      </c>
      <c r="B375" s="1" t="s">
        <v>887</v>
      </c>
      <c r="C375" s="2">
        <v>44386</v>
      </c>
      <c r="D375" s="6">
        <f>Tabuľka1383132[[#This Row],[Suma s DPH]]</f>
        <v>1549</v>
      </c>
      <c r="E375" s="6">
        <v>1549</v>
      </c>
      <c r="F375" s="1" t="s">
        <v>497</v>
      </c>
      <c r="G375" s="1" t="s">
        <v>1146</v>
      </c>
      <c r="H375" s="1" t="s">
        <v>1145</v>
      </c>
      <c r="I375" s="1" t="s">
        <v>1479</v>
      </c>
    </row>
    <row r="376" spans="1:9" x14ac:dyDescent="0.25">
      <c r="A376" s="1" t="s">
        <v>372</v>
      </c>
      <c r="B376" s="1" t="s">
        <v>888</v>
      </c>
      <c r="C376" s="2">
        <v>44386</v>
      </c>
      <c r="D376" s="6">
        <f>35</f>
        <v>35</v>
      </c>
      <c r="E376" s="6">
        <v>42</v>
      </c>
      <c r="F376" s="1" t="s">
        <v>470</v>
      </c>
      <c r="G376" s="1" t="s">
        <v>1101</v>
      </c>
      <c r="H376" s="1" t="s">
        <v>1102</v>
      </c>
      <c r="I376" s="1" t="s">
        <v>1429</v>
      </c>
    </row>
    <row r="377" spans="1:9" x14ac:dyDescent="0.25">
      <c r="A377" s="1" t="s">
        <v>373</v>
      </c>
      <c r="B377" s="1" t="s">
        <v>889</v>
      </c>
      <c r="C377" s="2">
        <v>44386</v>
      </c>
      <c r="D377" s="6">
        <f>70</f>
        <v>70</v>
      </c>
      <c r="E377" s="6">
        <v>84</v>
      </c>
      <c r="F377" s="1" t="s">
        <v>470</v>
      </c>
      <c r="G377" s="1" t="s">
        <v>1101</v>
      </c>
      <c r="H377" s="1" t="s">
        <v>1102</v>
      </c>
      <c r="I377" s="1" t="s">
        <v>1480</v>
      </c>
    </row>
    <row r="378" spans="1:9" x14ac:dyDescent="0.25">
      <c r="A378" s="1" t="s">
        <v>374</v>
      </c>
      <c r="B378" s="1" t="s">
        <v>890</v>
      </c>
      <c r="C378" s="2">
        <v>44386</v>
      </c>
      <c r="D378" s="6">
        <f>1973.69</f>
        <v>1973.69</v>
      </c>
      <c r="E378" s="6">
        <v>2368.4299999999998</v>
      </c>
      <c r="F378" s="1" t="s">
        <v>470</v>
      </c>
      <c r="G378" s="1" t="s">
        <v>1101</v>
      </c>
      <c r="H378" s="1" t="s">
        <v>1102</v>
      </c>
      <c r="I378" s="1" t="s">
        <v>1330</v>
      </c>
    </row>
    <row r="379" spans="1:9" x14ac:dyDescent="0.25">
      <c r="A379" s="1" t="s">
        <v>375</v>
      </c>
      <c r="B379" s="1" t="s">
        <v>891</v>
      </c>
      <c r="C379" s="2">
        <v>44386</v>
      </c>
      <c r="D379" s="6">
        <f>52.5</f>
        <v>52.5</v>
      </c>
      <c r="E379" s="6">
        <v>63</v>
      </c>
      <c r="F379" s="1" t="s">
        <v>470</v>
      </c>
      <c r="G379" s="1" t="s">
        <v>1101</v>
      </c>
      <c r="H379" s="1" t="s">
        <v>1102</v>
      </c>
      <c r="I379" s="1" t="s">
        <v>1423</v>
      </c>
    </row>
    <row r="380" spans="1:9" x14ac:dyDescent="0.25">
      <c r="A380" s="1" t="s">
        <v>376</v>
      </c>
      <c r="B380" s="1" t="s">
        <v>892</v>
      </c>
      <c r="C380" s="2">
        <v>44386</v>
      </c>
      <c r="D380" s="6">
        <f>17.5</f>
        <v>17.5</v>
      </c>
      <c r="E380" s="6">
        <v>21</v>
      </c>
      <c r="F380" s="1" t="s">
        <v>470</v>
      </c>
      <c r="G380" s="1" t="s">
        <v>1101</v>
      </c>
      <c r="H380" s="1" t="s">
        <v>1102</v>
      </c>
      <c r="I380" s="1" t="s">
        <v>1373</v>
      </c>
    </row>
    <row r="381" spans="1:9" x14ac:dyDescent="0.25">
      <c r="A381" s="1" t="s">
        <v>377</v>
      </c>
      <c r="B381" s="1" t="s">
        <v>893</v>
      </c>
      <c r="C381" s="2">
        <v>44386</v>
      </c>
      <c r="D381" s="6">
        <f>69</f>
        <v>69</v>
      </c>
      <c r="E381" s="6">
        <v>82.8</v>
      </c>
      <c r="F381" s="1" t="s">
        <v>472</v>
      </c>
      <c r="G381" s="1" t="s">
        <v>1151</v>
      </c>
      <c r="H381" s="1" t="s">
        <v>1482</v>
      </c>
      <c r="I381" s="1" t="s">
        <v>1481</v>
      </c>
    </row>
    <row r="382" spans="1:9" x14ac:dyDescent="0.25">
      <c r="A382" s="1" t="s">
        <v>378</v>
      </c>
      <c r="B382" s="1" t="s">
        <v>894</v>
      </c>
      <c r="C382" s="2">
        <v>44386</v>
      </c>
      <c r="D382" s="6">
        <f>165.96</f>
        <v>165.96</v>
      </c>
      <c r="E382" s="6">
        <v>199.15</v>
      </c>
      <c r="F382" s="1" t="s">
        <v>466</v>
      </c>
      <c r="G382" s="1" t="s">
        <v>1105</v>
      </c>
      <c r="H382" s="1" t="s">
        <v>1106</v>
      </c>
      <c r="I382" s="1" t="s">
        <v>1368</v>
      </c>
    </row>
    <row r="383" spans="1:9" x14ac:dyDescent="0.25">
      <c r="A383" s="1" t="s">
        <v>379</v>
      </c>
      <c r="B383" s="1" t="s">
        <v>895</v>
      </c>
      <c r="C383" s="2">
        <v>44389</v>
      </c>
      <c r="D383" s="6">
        <f>Tabuľka1383132[[#This Row],[Suma s DPH]]</f>
        <v>250</v>
      </c>
      <c r="E383" s="6">
        <v>250</v>
      </c>
      <c r="F383" s="1" t="s">
        <v>498</v>
      </c>
      <c r="G383" s="1" t="s">
        <v>1180</v>
      </c>
      <c r="H383" s="1" t="s">
        <v>1147</v>
      </c>
      <c r="I383" s="1" t="s">
        <v>1483</v>
      </c>
    </row>
    <row r="384" spans="1:9" x14ac:dyDescent="0.25">
      <c r="A384" s="1" t="s">
        <v>380</v>
      </c>
      <c r="B384" s="1" t="s">
        <v>896</v>
      </c>
      <c r="C384" s="2">
        <v>44389</v>
      </c>
      <c r="D384" s="6">
        <f>Tabuľka1383132[[#This Row],[Suma s DPH]]</f>
        <v>780</v>
      </c>
      <c r="E384" s="6">
        <v>780</v>
      </c>
      <c r="F384" s="1" t="s">
        <v>473</v>
      </c>
      <c r="G384" s="1" t="s">
        <v>1109</v>
      </c>
      <c r="H384" s="1" t="s">
        <v>1110</v>
      </c>
      <c r="I384" s="1" t="s">
        <v>1484</v>
      </c>
    </row>
    <row r="385" spans="1:9" x14ac:dyDescent="0.25">
      <c r="A385" s="1" t="s">
        <v>381</v>
      </c>
      <c r="B385" s="1" t="s">
        <v>897</v>
      </c>
      <c r="C385" s="2">
        <v>44389</v>
      </c>
      <c r="D385" s="6">
        <f>5948.29</f>
        <v>5948.29</v>
      </c>
      <c r="E385" s="6">
        <v>7137.95</v>
      </c>
      <c r="F385" s="1" t="s">
        <v>495</v>
      </c>
      <c r="G385" s="1" t="s">
        <v>1198</v>
      </c>
      <c r="H385" s="1" t="s">
        <v>1108</v>
      </c>
      <c r="I385" s="1" t="s">
        <v>1485</v>
      </c>
    </row>
    <row r="386" spans="1:9" x14ac:dyDescent="0.25">
      <c r="A386" s="1" t="s">
        <v>1200</v>
      </c>
      <c r="B386" s="1" t="s">
        <v>1232</v>
      </c>
      <c r="C386" s="2">
        <v>44397</v>
      </c>
      <c r="D386" s="6">
        <v>10</v>
      </c>
      <c r="E386" s="6">
        <v>10</v>
      </c>
      <c r="F386" s="1" t="s">
        <v>469</v>
      </c>
      <c r="G386" s="4" t="s">
        <v>1100</v>
      </c>
      <c r="H386" s="4" t="s">
        <v>1100</v>
      </c>
      <c r="I386" s="1" t="s">
        <v>1940</v>
      </c>
    </row>
    <row r="387" spans="1:9" x14ac:dyDescent="0.25">
      <c r="A387" s="1" t="s">
        <v>1201</v>
      </c>
      <c r="B387" s="1" t="s">
        <v>1234</v>
      </c>
      <c r="C387" s="2">
        <v>44397</v>
      </c>
      <c r="D387" s="6">
        <v>34.5</v>
      </c>
      <c r="E387" s="6">
        <v>34.5</v>
      </c>
      <c r="F387" s="1" t="s">
        <v>469</v>
      </c>
      <c r="G387" s="4" t="s">
        <v>1100</v>
      </c>
      <c r="H387" s="4" t="s">
        <v>1100</v>
      </c>
      <c r="I387" s="1" t="s">
        <v>1940</v>
      </c>
    </row>
    <row r="388" spans="1:9" x14ac:dyDescent="0.25">
      <c r="A388" s="1" t="s">
        <v>1202</v>
      </c>
      <c r="B388" s="1" t="s">
        <v>1235</v>
      </c>
      <c r="C388" s="2">
        <v>44397</v>
      </c>
      <c r="D388" s="6">
        <v>86</v>
      </c>
      <c r="E388" s="6">
        <v>86</v>
      </c>
      <c r="F388" s="1" t="s">
        <v>469</v>
      </c>
      <c r="G388" s="4" t="s">
        <v>1100</v>
      </c>
      <c r="H388" s="4" t="s">
        <v>1100</v>
      </c>
      <c r="I388" s="1" t="s">
        <v>1940</v>
      </c>
    </row>
    <row r="389" spans="1:9" x14ac:dyDescent="0.25">
      <c r="A389" s="1" t="s">
        <v>1203</v>
      </c>
      <c r="B389" s="1" t="s">
        <v>1236</v>
      </c>
      <c r="C389" s="2">
        <v>44397</v>
      </c>
      <c r="D389" s="6">
        <v>264</v>
      </c>
      <c r="E389" s="6">
        <v>316.8</v>
      </c>
      <c r="F389" s="1" t="s">
        <v>488</v>
      </c>
      <c r="G389" s="1" t="s">
        <v>1137</v>
      </c>
      <c r="H389" s="1" t="s">
        <v>1138</v>
      </c>
      <c r="I389" s="1" t="s">
        <v>1486</v>
      </c>
    </row>
    <row r="390" spans="1:9" x14ac:dyDescent="0.25">
      <c r="A390" s="1" t="s">
        <v>1204</v>
      </c>
      <c r="B390" s="1" t="s">
        <v>1237</v>
      </c>
      <c r="C390" s="2">
        <v>44403</v>
      </c>
      <c r="D390" s="6">
        <v>30</v>
      </c>
      <c r="E390" s="6">
        <v>30</v>
      </c>
      <c r="F390" s="1" t="s">
        <v>469</v>
      </c>
      <c r="G390" s="4" t="s">
        <v>1100</v>
      </c>
      <c r="H390" s="4" t="s">
        <v>1100</v>
      </c>
      <c r="I390" s="1" t="s">
        <v>1940</v>
      </c>
    </row>
    <row r="391" spans="1:9" x14ac:dyDescent="0.25">
      <c r="A391" s="1" t="s">
        <v>1205</v>
      </c>
      <c r="B391" s="1" t="s">
        <v>1238</v>
      </c>
      <c r="C391" s="2">
        <v>44403</v>
      </c>
      <c r="D391" s="6">
        <v>49.5</v>
      </c>
      <c r="E391" s="6">
        <v>49.5</v>
      </c>
      <c r="F391" s="1" t="s">
        <v>469</v>
      </c>
      <c r="G391" s="4" t="s">
        <v>1100</v>
      </c>
      <c r="H391" s="4" t="s">
        <v>1100</v>
      </c>
      <c r="I391" s="1" t="s">
        <v>1940</v>
      </c>
    </row>
    <row r="392" spans="1:9" x14ac:dyDescent="0.25">
      <c r="A392" s="1" t="s">
        <v>1206</v>
      </c>
      <c r="B392" s="1" t="s">
        <v>1239</v>
      </c>
      <c r="C392" s="2">
        <v>44403</v>
      </c>
      <c r="D392" s="6">
        <v>49.5</v>
      </c>
      <c r="E392" s="6">
        <v>49.5</v>
      </c>
      <c r="F392" s="1" t="s">
        <v>469</v>
      </c>
      <c r="G392" s="4" t="s">
        <v>1100</v>
      </c>
      <c r="H392" s="4" t="s">
        <v>1100</v>
      </c>
      <c r="I392" s="1" t="s">
        <v>1940</v>
      </c>
    </row>
    <row r="393" spans="1:9" x14ac:dyDescent="0.25">
      <c r="A393" s="1" t="s">
        <v>1207</v>
      </c>
      <c r="B393" s="1" t="s">
        <v>1240</v>
      </c>
      <c r="C393" s="2">
        <v>44403</v>
      </c>
      <c r="D393" s="6">
        <v>203</v>
      </c>
      <c r="E393" s="6">
        <v>203</v>
      </c>
      <c r="F393" s="1" t="s">
        <v>469</v>
      </c>
      <c r="G393" s="4" t="s">
        <v>1100</v>
      </c>
      <c r="H393" s="4" t="s">
        <v>1100</v>
      </c>
      <c r="I393" s="1" t="s">
        <v>1940</v>
      </c>
    </row>
    <row r="394" spans="1:9" x14ac:dyDescent="0.25">
      <c r="A394" s="1" t="s">
        <v>1208</v>
      </c>
      <c r="B394" s="1" t="s">
        <v>1241</v>
      </c>
      <c r="C394" s="2">
        <v>44403</v>
      </c>
      <c r="D394" s="6">
        <v>115.5</v>
      </c>
      <c r="E394" s="6">
        <v>115.5</v>
      </c>
      <c r="F394" s="1" t="s">
        <v>469</v>
      </c>
      <c r="G394" s="4" t="s">
        <v>1100</v>
      </c>
      <c r="H394" s="4" t="s">
        <v>1100</v>
      </c>
      <c r="I394" s="1" t="s">
        <v>1940</v>
      </c>
    </row>
    <row r="395" spans="1:9" x14ac:dyDescent="0.25">
      <c r="A395" s="1" t="s">
        <v>1209</v>
      </c>
      <c r="B395" s="1" t="s">
        <v>1242</v>
      </c>
      <c r="C395" s="2">
        <v>44403</v>
      </c>
      <c r="D395" s="6">
        <v>107</v>
      </c>
      <c r="E395" s="6">
        <v>107</v>
      </c>
      <c r="F395" s="1" t="s">
        <v>469</v>
      </c>
      <c r="G395" s="4" t="s">
        <v>1100</v>
      </c>
      <c r="H395" s="4" t="s">
        <v>1100</v>
      </c>
      <c r="I395" s="1" t="s">
        <v>1940</v>
      </c>
    </row>
    <row r="396" spans="1:9" x14ac:dyDescent="0.25">
      <c r="A396" s="1" t="s">
        <v>1210</v>
      </c>
      <c r="B396" s="1" t="s">
        <v>1243</v>
      </c>
      <c r="C396" s="2">
        <v>44403</v>
      </c>
      <c r="D396" s="6">
        <v>35</v>
      </c>
      <c r="E396" s="6">
        <v>42</v>
      </c>
      <c r="F396" s="1" t="s">
        <v>479</v>
      </c>
      <c r="G396" s="1" t="s">
        <v>1124</v>
      </c>
      <c r="H396" s="4" t="s">
        <v>1100</v>
      </c>
      <c r="I396" s="1" t="s">
        <v>1953</v>
      </c>
    </row>
    <row r="397" spans="1:9" x14ac:dyDescent="0.25">
      <c r="A397" s="1" t="s">
        <v>1211</v>
      </c>
      <c r="B397" s="1" t="s">
        <v>1244</v>
      </c>
      <c r="C397" s="2">
        <v>44403</v>
      </c>
      <c r="D397" s="6">
        <v>50.76</v>
      </c>
      <c r="E397" s="6">
        <v>60.9</v>
      </c>
      <c r="F397" s="1" t="s">
        <v>467</v>
      </c>
      <c r="G397" s="1" t="s">
        <v>1099</v>
      </c>
      <c r="H397" s="1" t="s">
        <v>1117</v>
      </c>
      <c r="I397" s="1" t="s">
        <v>1300</v>
      </c>
    </row>
    <row r="398" spans="1:9" x14ac:dyDescent="0.25">
      <c r="A398" s="1" t="s">
        <v>1212</v>
      </c>
      <c r="B398" s="1" t="s">
        <v>1245</v>
      </c>
      <c r="C398" s="2">
        <v>44403</v>
      </c>
      <c r="D398" s="6">
        <f>Tabuľka1383132[[#This Row],[Suma s DPH]]/120*100</f>
        <v>21216.433333333334</v>
      </c>
      <c r="E398" s="6">
        <v>25459.72</v>
      </c>
      <c r="F398" s="1" t="s">
        <v>475</v>
      </c>
      <c r="G398" s="1" t="s">
        <v>1115</v>
      </c>
      <c r="H398" s="1" t="s">
        <v>1116</v>
      </c>
      <c r="I398" s="1" t="s">
        <v>1346</v>
      </c>
    </row>
    <row r="399" spans="1:9" x14ac:dyDescent="0.25">
      <c r="A399" s="1" t="s">
        <v>1213</v>
      </c>
      <c r="B399" s="1" t="s">
        <v>1246</v>
      </c>
      <c r="C399" s="2">
        <v>44403</v>
      </c>
      <c r="D399" s="6">
        <v>973.12</v>
      </c>
      <c r="E399" s="6">
        <v>1167.74</v>
      </c>
      <c r="F399" s="1" t="s">
        <v>468</v>
      </c>
      <c r="G399" s="1" t="s">
        <v>1098</v>
      </c>
      <c r="H399" s="7" t="s">
        <v>1108</v>
      </c>
      <c r="I399" s="1" t="s">
        <v>1249</v>
      </c>
    </row>
    <row r="400" spans="1:9" x14ac:dyDescent="0.25">
      <c r="A400" s="1" t="s">
        <v>1214</v>
      </c>
      <c r="B400" s="1" t="s">
        <v>1247</v>
      </c>
      <c r="C400" s="2">
        <v>44403</v>
      </c>
      <c r="D400" s="6">
        <v>32.32</v>
      </c>
      <c r="E400" s="6">
        <v>32.32</v>
      </c>
      <c r="F400" s="1" t="s">
        <v>468</v>
      </c>
      <c r="G400" s="1" t="s">
        <v>1098</v>
      </c>
      <c r="H400" s="7" t="s">
        <v>1108</v>
      </c>
      <c r="I400" s="1" t="s">
        <v>1250</v>
      </c>
    </row>
    <row r="401" spans="1:9" x14ac:dyDescent="0.25">
      <c r="A401" s="1" t="s">
        <v>1215</v>
      </c>
      <c r="B401" s="1" t="s">
        <v>1248</v>
      </c>
      <c r="C401" s="2">
        <v>44403</v>
      </c>
      <c r="D401" s="6">
        <v>1207.5</v>
      </c>
      <c r="E401" s="6">
        <v>1449</v>
      </c>
      <c r="F401" s="1" t="s">
        <v>468</v>
      </c>
      <c r="G401" s="1" t="s">
        <v>1098</v>
      </c>
      <c r="H401" s="7" t="s">
        <v>1108</v>
      </c>
      <c r="I401" s="1" t="s">
        <v>1251</v>
      </c>
    </row>
    <row r="402" spans="1:9" x14ac:dyDescent="0.25">
      <c r="A402" s="1" t="s">
        <v>1216</v>
      </c>
      <c r="B402" s="1" t="s">
        <v>1252</v>
      </c>
      <c r="C402" s="2">
        <v>44403</v>
      </c>
      <c r="D402" s="6">
        <v>25.25</v>
      </c>
      <c r="E402" s="6">
        <v>30.3</v>
      </c>
      <c r="F402" s="1" t="s">
        <v>468</v>
      </c>
      <c r="G402" s="1" t="s">
        <v>1098</v>
      </c>
      <c r="H402" s="7" t="s">
        <v>1108</v>
      </c>
      <c r="I402" s="1" t="s">
        <v>1253</v>
      </c>
    </row>
    <row r="403" spans="1:9" x14ac:dyDescent="0.25">
      <c r="A403" s="1" t="s">
        <v>1217</v>
      </c>
      <c r="B403" s="1" t="s">
        <v>1254</v>
      </c>
      <c r="C403" s="2">
        <v>44403</v>
      </c>
      <c r="D403" s="6">
        <v>86.35</v>
      </c>
      <c r="E403" s="6">
        <v>103.62</v>
      </c>
      <c r="F403" s="1" t="s">
        <v>468</v>
      </c>
      <c r="G403" s="1" t="s">
        <v>1098</v>
      </c>
      <c r="H403" s="7" t="s">
        <v>1108</v>
      </c>
      <c r="I403" s="1" t="s">
        <v>1255</v>
      </c>
    </row>
    <row r="404" spans="1:9" x14ac:dyDescent="0.25">
      <c r="A404" s="1" t="s">
        <v>1218</v>
      </c>
      <c r="B404" s="1" t="s">
        <v>1256</v>
      </c>
      <c r="C404" s="2">
        <v>44403</v>
      </c>
      <c r="D404" s="6">
        <v>245.52</v>
      </c>
      <c r="E404" s="6">
        <v>294.63</v>
      </c>
      <c r="F404" s="1" t="s">
        <v>468</v>
      </c>
      <c r="G404" s="1" t="s">
        <v>1098</v>
      </c>
      <c r="H404" s="7" t="s">
        <v>1108</v>
      </c>
      <c r="I404" s="1" t="s">
        <v>1461</v>
      </c>
    </row>
    <row r="405" spans="1:9" x14ac:dyDescent="0.25">
      <c r="A405" s="1" t="s">
        <v>1219</v>
      </c>
      <c r="B405" s="1" t="s">
        <v>1258</v>
      </c>
      <c r="C405" s="2">
        <v>44403</v>
      </c>
      <c r="D405" s="6">
        <v>309.39999999999998</v>
      </c>
      <c r="E405" s="6">
        <v>371.28</v>
      </c>
      <c r="F405" s="1" t="s">
        <v>468</v>
      </c>
      <c r="G405" s="1" t="s">
        <v>1098</v>
      </c>
      <c r="H405" s="7" t="s">
        <v>1108</v>
      </c>
      <c r="I405" s="1" t="s">
        <v>1259</v>
      </c>
    </row>
    <row r="406" spans="1:9" x14ac:dyDescent="0.25">
      <c r="A406" s="1" t="s">
        <v>1220</v>
      </c>
      <c r="B406" s="1" t="s">
        <v>1265</v>
      </c>
      <c r="C406" s="2">
        <v>44403</v>
      </c>
      <c r="D406" s="6">
        <v>210</v>
      </c>
      <c r="E406" s="6">
        <v>252</v>
      </c>
      <c r="F406" s="1" t="s">
        <v>474</v>
      </c>
      <c r="G406" s="1" t="s">
        <v>1111</v>
      </c>
      <c r="H406" s="7" t="s">
        <v>1266</v>
      </c>
      <c r="I406" s="1" t="s">
        <v>1267</v>
      </c>
    </row>
    <row r="407" spans="1:9" x14ac:dyDescent="0.25">
      <c r="A407" s="1" t="s">
        <v>1221</v>
      </c>
      <c r="B407" s="1" t="s">
        <v>1268</v>
      </c>
      <c r="C407" s="2">
        <v>44403</v>
      </c>
      <c r="D407" s="6">
        <v>135</v>
      </c>
      <c r="E407" s="6">
        <v>162</v>
      </c>
      <c r="F407" s="1" t="s">
        <v>474</v>
      </c>
      <c r="G407" s="1" t="s">
        <v>1111</v>
      </c>
      <c r="H407" s="7" t="s">
        <v>1269</v>
      </c>
      <c r="I407" s="1" t="s">
        <v>1275</v>
      </c>
    </row>
    <row r="408" spans="1:9" x14ac:dyDescent="0.25">
      <c r="A408" s="1" t="s">
        <v>1222</v>
      </c>
      <c r="B408" s="1" t="s">
        <v>1270</v>
      </c>
      <c r="C408" s="2">
        <v>44403</v>
      </c>
      <c r="D408" s="6">
        <v>12311.67</v>
      </c>
      <c r="E408" s="6">
        <v>14774</v>
      </c>
      <c r="F408" s="1" t="s">
        <v>468</v>
      </c>
      <c r="G408" s="1" t="s">
        <v>1098</v>
      </c>
      <c r="H408" s="7" t="s">
        <v>1108</v>
      </c>
      <c r="I408" s="1" t="s">
        <v>1271</v>
      </c>
    </row>
    <row r="409" spans="1:9" x14ac:dyDescent="0.25">
      <c r="A409" s="1" t="s">
        <v>1223</v>
      </c>
      <c r="B409" s="1" t="s">
        <v>1272</v>
      </c>
      <c r="C409" s="2">
        <v>44403</v>
      </c>
      <c r="D409" s="6">
        <v>-56.84</v>
      </c>
      <c r="E409" s="6">
        <v>68.209999999999994</v>
      </c>
      <c r="F409" s="1" t="s">
        <v>468</v>
      </c>
      <c r="G409" s="1" t="s">
        <v>1098</v>
      </c>
      <c r="H409" s="7" t="s">
        <v>1108</v>
      </c>
      <c r="I409" s="1" t="s">
        <v>1274</v>
      </c>
    </row>
    <row r="410" spans="1:9" x14ac:dyDescent="0.25">
      <c r="A410" s="1" t="s">
        <v>1224</v>
      </c>
      <c r="B410" s="1" t="s">
        <v>1273</v>
      </c>
      <c r="C410" s="2">
        <v>44403</v>
      </c>
      <c r="D410" s="6">
        <v>125.12</v>
      </c>
      <c r="E410" s="6">
        <v>150.13999999999999</v>
      </c>
      <c r="F410" s="1" t="s">
        <v>468</v>
      </c>
      <c r="G410" s="1" t="s">
        <v>1098</v>
      </c>
      <c r="H410" s="7" t="s">
        <v>1974</v>
      </c>
      <c r="I410" s="1" t="s">
        <v>1276</v>
      </c>
    </row>
    <row r="411" spans="1:9" x14ac:dyDescent="0.25">
      <c r="A411" s="1" t="s">
        <v>1225</v>
      </c>
      <c r="B411" s="1" t="s">
        <v>1277</v>
      </c>
      <c r="C411" s="2">
        <v>44403</v>
      </c>
      <c r="D411" s="6">
        <v>809.41</v>
      </c>
      <c r="E411" s="6">
        <v>971.29</v>
      </c>
      <c r="F411" s="1" t="s">
        <v>468</v>
      </c>
      <c r="G411" s="1" t="s">
        <v>1098</v>
      </c>
      <c r="H411" s="7" t="s">
        <v>1108</v>
      </c>
      <c r="I411" s="1" t="s">
        <v>1278</v>
      </c>
    </row>
    <row r="412" spans="1:9" x14ac:dyDescent="0.25">
      <c r="A412" s="1" t="s">
        <v>1226</v>
      </c>
      <c r="B412" s="1" t="s">
        <v>1279</v>
      </c>
      <c r="C412" s="2">
        <v>44403</v>
      </c>
      <c r="D412" s="6">
        <v>32.67</v>
      </c>
      <c r="E412" s="6">
        <v>39.200000000000003</v>
      </c>
      <c r="F412" s="1" t="s">
        <v>468</v>
      </c>
      <c r="G412" s="1" t="s">
        <v>1098</v>
      </c>
      <c r="H412" s="7" t="s">
        <v>1108</v>
      </c>
      <c r="I412" s="1" t="s">
        <v>1280</v>
      </c>
    </row>
    <row r="413" spans="1:9" x14ac:dyDescent="0.25">
      <c r="A413" s="1" t="s">
        <v>1227</v>
      </c>
      <c r="B413" s="1" t="s">
        <v>1281</v>
      </c>
      <c r="C413" s="2">
        <v>44403</v>
      </c>
      <c r="D413" s="6">
        <v>3335</v>
      </c>
      <c r="E413" s="6">
        <v>4002</v>
      </c>
      <c r="F413" s="1" t="s">
        <v>468</v>
      </c>
      <c r="G413" s="1" t="s">
        <v>1098</v>
      </c>
      <c r="H413" s="7" t="s">
        <v>1108</v>
      </c>
      <c r="I413" s="1" t="s">
        <v>1282</v>
      </c>
    </row>
    <row r="414" spans="1:9" x14ac:dyDescent="0.25">
      <c r="A414" s="1" t="s">
        <v>1228</v>
      </c>
      <c r="B414" s="1" t="s">
        <v>1283</v>
      </c>
      <c r="C414" s="2">
        <v>44403</v>
      </c>
      <c r="D414" s="6">
        <v>2737.25</v>
      </c>
      <c r="E414" s="6">
        <v>3284.7</v>
      </c>
      <c r="F414" s="1" t="s">
        <v>468</v>
      </c>
      <c r="G414" s="1" t="s">
        <v>1098</v>
      </c>
      <c r="H414" s="7" t="s">
        <v>1108</v>
      </c>
      <c r="I414" s="1" t="s">
        <v>1284</v>
      </c>
    </row>
    <row r="415" spans="1:9" x14ac:dyDescent="0.25">
      <c r="A415" s="1" t="s">
        <v>1229</v>
      </c>
      <c r="B415" s="1" t="s">
        <v>1285</v>
      </c>
      <c r="C415" s="2">
        <v>44403</v>
      </c>
      <c r="D415" s="6">
        <v>1852.72</v>
      </c>
      <c r="E415" s="6">
        <v>2223.2600000000002</v>
      </c>
      <c r="F415" s="1" t="s">
        <v>468</v>
      </c>
      <c r="G415" s="1" t="s">
        <v>1098</v>
      </c>
      <c r="H415" s="7" t="s">
        <v>1982</v>
      </c>
      <c r="I415" s="1" t="s">
        <v>1286</v>
      </c>
    </row>
    <row r="416" spans="1:9" x14ac:dyDescent="0.25">
      <c r="A416" s="1" t="s">
        <v>1230</v>
      </c>
      <c r="B416" s="1" t="s">
        <v>1287</v>
      </c>
      <c r="C416" s="2">
        <v>44403</v>
      </c>
      <c r="D416" s="6">
        <v>129.68</v>
      </c>
      <c r="E416" s="6">
        <v>155.62</v>
      </c>
      <c r="F416" s="1" t="s">
        <v>468</v>
      </c>
      <c r="G416" s="1" t="s">
        <v>1098</v>
      </c>
      <c r="H416" s="7" t="s">
        <v>1972</v>
      </c>
      <c r="I416" s="1" t="s">
        <v>1288</v>
      </c>
    </row>
    <row r="417" spans="1:9" x14ac:dyDescent="0.25">
      <c r="A417" s="1" t="s">
        <v>1231</v>
      </c>
      <c r="B417" s="1" t="s">
        <v>1289</v>
      </c>
      <c r="C417" s="2">
        <v>44403</v>
      </c>
      <c r="D417" s="6">
        <v>500</v>
      </c>
      <c r="E417" s="6">
        <v>500</v>
      </c>
      <c r="F417" s="1" t="s">
        <v>1290</v>
      </c>
      <c r="G417" s="1" t="s">
        <v>1291</v>
      </c>
      <c r="H417" s="1" t="s">
        <v>1292</v>
      </c>
      <c r="I417" s="1" t="s">
        <v>1293</v>
      </c>
    </row>
    <row r="418" spans="1:9" x14ac:dyDescent="0.25">
      <c r="A418" s="1" t="s">
        <v>1531</v>
      </c>
      <c r="B418" s="1" t="s">
        <v>1565</v>
      </c>
      <c r="C418" s="2">
        <v>44412</v>
      </c>
      <c r="D418" s="6">
        <f>Tabuľka1383132[[#This Row],[Suma s DPH]]/120*100</f>
        <v>165.95833333333334</v>
      </c>
      <c r="E418" s="6">
        <v>199.15</v>
      </c>
      <c r="F418" s="1" t="s">
        <v>466</v>
      </c>
      <c r="G418" s="1" t="s">
        <v>1105</v>
      </c>
      <c r="H418" s="1" t="s">
        <v>1106</v>
      </c>
      <c r="I418" s="1" t="s">
        <v>1336</v>
      </c>
    </row>
    <row r="419" spans="1:9" x14ac:dyDescent="0.25">
      <c r="A419" s="1" t="s">
        <v>1532</v>
      </c>
      <c r="B419" s="1" t="s">
        <v>1566</v>
      </c>
      <c r="C419" s="2">
        <v>44412</v>
      </c>
      <c r="D419" s="6">
        <f>Tabuľka1383132[[#This Row],[Suma s DPH]]/120*100</f>
        <v>264</v>
      </c>
      <c r="E419" s="6">
        <v>316.8</v>
      </c>
      <c r="F419" s="1" t="s">
        <v>488</v>
      </c>
      <c r="G419" s="1" t="s">
        <v>1137</v>
      </c>
      <c r="H419" s="1" t="s">
        <v>1138</v>
      </c>
      <c r="I419" s="1" t="s">
        <v>1567</v>
      </c>
    </row>
    <row r="420" spans="1:9" x14ac:dyDescent="0.25">
      <c r="A420" s="1" t="s">
        <v>1533</v>
      </c>
      <c r="B420" s="1" t="s">
        <v>1568</v>
      </c>
      <c r="C420" s="2">
        <v>44412</v>
      </c>
      <c r="D420" s="29">
        <f>Tabuľka1383132[[#This Row],[Suma s DPH]]/120*100</f>
        <v>-3.4083333333333332</v>
      </c>
      <c r="E420" s="29">
        <v>-4.09</v>
      </c>
      <c r="F420" s="1" t="s">
        <v>468</v>
      </c>
      <c r="G420" s="1" t="s">
        <v>1098</v>
      </c>
      <c r="H420" s="7" t="s">
        <v>1108</v>
      </c>
      <c r="I420" s="1" t="s">
        <v>1569</v>
      </c>
    </row>
    <row r="421" spans="1:9" x14ac:dyDescent="0.25">
      <c r="A421" s="1" t="s">
        <v>1534</v>
      </c>
      <c r="B421" s="1" t="s">
        <v>1570</v>
      </c>
      <c r="C421" s="2">
        <v>44412</v>
      </c>
      <c r="D421" s="6">
        <f>Tabuľka1383132[[#This Row],[Suma s DPH]]/120*100</f>
        <v>19065.833333333332</v>
      </c>
      <c r="E421" s="6">
        <v>22879</v>
      </c>
      <c r="F421" s="1" t="s">
        <v>468</v>
      </c>
      <c r="G421" s="1" t="s">
        <v>1098</v>
      </c>
      <c r="H421" s="1" t="s">
        <v>1190</v>
      </c>
      <c r="I421" s="1" t="s">
        <v>1571</v>
      </c>
    </row>
    <row r="422" spans="1:9" x14ac:dyDescent="0.25">
      <c r="A422" s="1" t="s">
        <v>1535</v>
      </c>
      <c r="B422" s="1" t="s">
        <v>1572</v>
      </c>
      <c r="C422" s="2">
        <v>44412</v>
      </c>
      <c r="D422" s="6">
        <f>Tabuľka1383132[[#This Row],[Suma s DPH]]/120*100</f>
        <v>13390.833333333334</v>
      </c>
      <c r="E422" s="6">
        <v>16069</v>
      </c>
      <c r="F422" s="1" t="s">
        <v>468</v>
      </c>
      <c r="G422" s="1" t="s">
        <v>1098</v>
      </c>
      <c r="H422" s="1" t="s">
        <v>1190</v>
      </c>
      <c r="I422" s="1" t="s">
        <v>1573</v>
      </c>
    </row>
    <row r="423" spans="1:9" x14ac:dyDescent="0.25">
      <c r="A423" s="1" t="s">
        <v>1536</v>
      </c>
      <c r="B423" s="1" t="s">
        <v>1574</v>
      </c>
      <c r="C423" s="2">
        <v>44412</v>
      </c>
      <c r="D423" s="6">
        <f>Tabuľka1383132[[#This Row],[Suma s DPH]]/120*100</f>
        <v>2909.6333333333332</v>
      </c>
      <c r="E423" s="6">
        <v>3491.56</v>
      </c>
      <c r="F423" s="1" t="s">
        <v>468</v>
      </c>
      <c r="G423" s="1" t="s">
        <v>1098</v>
      </c>
      <c r="H423" s="1" t="s">
        <v>1189</v>
      </c>
      <c r="I423" s="1" t="s">
        <v>1575</v>
      </c>
    </row>
    <row r="424" spans="1:9" x14ac:dyDescent="0.25">
      <c r="A424" s="1" t="s">
        <v>1537</v>
      </c>
      <c r="B424" s="1" t="s">
        <v>1576</v>
      </c>
      <c r="C424" s="2">
        <v>44412</v>
      </c>
      <c r="D424" s="6">
        <f>Tabuľka1383132[[#This Row],[Suma s DPH]]/120*100</f>
        <v>700</v>
      </c>
      <c r="E424" s="6">
        <v>840</v>
      </c>
      <c r="F424" s="1" t="s">
        <v>468</v>
      </c>
      <c r="G424" s="1" t="s">
        <v>1098</v>
      </c>
      <c r="H424" s="1" t="s">
        <v>1189</v>
      </c>
      <c r="I424" s="1" t="s">
        <v>1577</v>
      </c>
    </row>
    <row r="425" spans="1:9" x14ac:dyDescent="0.25">
      <c r="A425" s="1" t="s">
        <v>1538</v>
      </c>
      <c r="B425" s="1" t="s">
        <v>1578</v>
      </c>
      <c r="C425" s="2">
        <v>44412</v>
      </c>
      <c r="D425" s="6">
        <f>Tabuľka1383132[[#This Row],[Suma s DPH]]/120*100</f>
        <v>160</v>
      </c>
      <c r="E425" s="6">
        <v>192</v>
      </c>
      <c r="F425" s="1" t="s">
        <v>468</v>
      </c>
      <c r="G425" s="1" t="s">
        <v>1098</v>
      </c>
      <c r="H425" s="1" t="s">
        <v>1189</v>
      </c>
      <c r="I425" s="1" t="s">
        <v>1579</v>
      </c>
    </row>
    <row r="426" spans="1:9" x14ac:dyDescent="0.25">
      <c r="A426" s="1" t="s">
        <v>1539</v>
      </c>
      <c r="B426" s="1" t="s">
        <v>1580</v>
      </c>
      <c r="C426" s="2">
        <v>44412</v>
      </c>
      <c r="D426" s="6">
        <f>Tabuľka1383132[[#This Row],[Suma s DPH]]/120*100</f>
        <v>112.00000000000001</v>
      </c>
      <c r="E426" s="6">
        <v>134.4</v>
      </c>
      <c r="F426" s="1" t="s">
        <v>468</v>
      </c>
      <c r="G426" s="1" t="s">
        <v>1098</v>
      </c>
      <c r="H426" s="1" t="s">
        <v>1189</v>
      </c>
      <c r="I426" s="1" t="s">
        <v>1581</v>
      </c>
    </row>
    <row r="427" spans="1:9" x14ac:dyDescent="0.25">
      <c r="A427" s="1" t="s">
        <v>1540</v>
      </c>
      <c r="B427" s="1" t="s">
        <v>1599</v>
      </c>
      <c r="C427" s="2">
        <v>44412</v>
      </c>
      <c r="D427" s="6">
        <f>Tabuľka1383132[[#This Row],[Suma s DPH]]/120*100</f>
        <v>24.000000000000004</v>
      </c>
      <c r="E427" s="6">
        <v>28.8</v>
      </c>
      <c r="F427" s="1" t="s">
        <v>468</v>
      </c>
      <c r="G427" s="1" t="s">
        <v>1098</v>
      </c>
      <c r="H427" s="1" t="s">
        <v>1189</v>
      </c>
      <c r="I427" s="1" t="s">
        <v>1575</v>
      </c>
    </row>
    <row r="428" spans="1:9" x14ac:dyDescent="0.25">
      <c r="A428" s="1" t="s">
        <v>1541</v>
      </c>
      <c r="B428" s="1" t="s">
        <v>1582</v>
      </c>
      <c r="C428" s="2">
        <v>44412</v>
      </c>
      <c r="D428" s="6">
        <f>Tabuľka1383132[[#This Row],[Suma s DPH]]/120*100</f>
        <v>19089</v>
      </c>
      <c r="E428" s="6">
        <v>22906.799999999999</v>
      </c>
      <c r="F428" s="1" t="s">
        <v>468</v>
      </c>
      <c r="G428" s="1" t="s">
        <v>1098</v>
      </c>
      <c r="H428" s="1" t="s">
        <v>1189</v>
      </c>
      <c r="I428" s="1" t="s">
        <v>1583</v>
      </c>
    </row>
    <row r="429" spans="1:9" x14ac:dyDescent="0.25">
      <c r="A429" s="1" t="s">
        <v>1542</v>
      </c>
      <c r="B429" s="1" t="s">
        <v>1584</v>
      </c>
      <c r="C429" s="2">
        <v>44413</v>
      </c>
      <c r="D429" s="6">
        <f>Tabuľka1383132[[#This Row],[Suma s DPH]]/120*100</f>
        <v>1202.5</v>
      </c>
      <c r="E429" s="6">
        <v>1443</v>
      </c>
      <c r="F429" s="1" t="s">
        <v>468</v>
      </c>
      <c r="G429" s="1" t="s">
        <v>1098</v>
      </c>
      <c r="H429" s="7" t="s">
        <v>1108</v>
      </c>
      <c r="I429" s="1" t="s">
        <v>1585</v>
      </c>
    </row>
    <row r="430" spans="1:9" x14ac:dyDescent="0.25">
      <c r="A430" s="1" t="s">
        <v>1543</v>
      </c>
      <c r="B430" s="1" t="s">
        <v>1586</v>
      </c>
      <c r="C430" s="2">
        <v>44413</v>
      </c>
      <c r="D430" s="6">
        <f>Tabuľka1383132[[#This Row],[Suma s DPH]]/120*100</f>
        <v>1973.6916666666666</v>
      </c>
      <c r="E430" s="6">
        <v>2368.4299999999998</v>
      </c>
      <c r="F430" s="1" t="s">
        <v>470</v>
      </c>
      <c r="G430" s="1" t="s">
        <v>1101</v>
      </c>
      <c r="H430" s="1" t="s">
        <v>1102</v>
      </c>
      <c r="I430" s="1" t="s">
        <v>1587</v>
      </c>
    </row>
    <row r="431" spans="1:9" x14ac:dyDescent="0.25">
      <c r="A431" s="1" t="s">
        <v>1544</v>
      </c>
      <c r="B431" s="1" t="s">
        <v>1589</v>
      </c>
      <c r="C431" s="2">
        <v>44414</v>
      </c>
      <c r="D431" s="6">
        <f>Tabuľka1383132[[#This Row],[Suma s DPH]]</f>
        <v>16.5</v>
      </c>
      <c r="E431" s="6">
        <v>16.5</v>
      </c>
      <c r="F431" s="1" t="s">
        <v>469</v>
      </c>
      <c r="G431" s="4" t="s">
        <v>1100</v>
      </c>
      <c r="H431" s="4" t="s">
        <v>1100</v>
      </c>
      <c r="I431" s="1" t="s">
        <v>1940</v>
      </c>
    </row>
    <row r="432" spans="1:9" x14ac:dyDescent="0.25">
      <c r="A432" s="1" t="s">
        <v>1545</v>
      </c>
      <c r="B432" s="1" t="s">
        <v>1590</v>
      </c>
      <c r="C432" s="2">
        <v>44414</v>
      </c>
      <c r="D432" s="6">
        <f>Tabuľka1383132[[#This Row],[Suma s DPH]]</f>
        <v>16.5</v>
      </c>
      <c r="E432" s="6">
        <v>16.5</v>
      </c>
      <c r="F432" s="1" t="s">
        <v>469</v>
      </c>
      <c r="G432" s="4" t="s">
        <v>1100</v>
      </c>
      <c r="H432" s="4" t="s">
        <v>1100</v>
      </c>
      <c r="I432" s="1" t="s">
        <v>1940</v>
      </c>
    </row>
    <row r="433" spans="1:9" x14ac:dyDescent="0.25">
      <c r="A433" s="1" t="s">
        <v>1546</v>
      </c>
      <c r="B433" s="1" t="s">
        <v>1591</v>
      </c>
      <c r="C433" s="2">
        <v>44414</v>
      </c>
      <c r="D433" s="6">
        <f>Tabuľka1383132[[#This Row],[Suma s DPH]]</f>
        <v>16.5</v>
      </c>
      <c r="E433" s="6">
        <v>16.5</v>
      </c>
      <c r="F433" s="1" t="s">
        <v>469</v>
      </c>
      <c r="G433" s="4" t="s">
        <v>1100</v>
      </c>
      <c r="H433" s="4" t="s">
        <v>1100</v>
      </c>
      <c r="I433" s="1" t="s">
        <v>1940</v>
      </c>
    </row>
    <row r="434" spans="1:9" x14ac:dyDescent="0.25">
      <c r="A434" s="1" t="s">
        <v>1547</v>
      </c>
      <c r="B434" s="1" t="s">
        <v>1592</v>
      </c>
      <c r="C434" s="2">
        <v>44414</v>
      </c>
      <c r="D434" s="6">
        <f>Tabuľka1383132[[#This Row],[Suma s DPH]]</f>
        <v>16.5</v>
      </c>
      <c r="E434" s="6">
        <v>16.5</v>
      </c>
      <c r="F434" s="1" t="s">
        <v>469</v>
      </c>
      <c r="G434" s="4" t="s">
        <v>1100</v>
      </c>
      <c r="H434" s="4" t="s">
        <v>1100</v>
      </c>
      <c r="I434" s="1" t="s">
        <v>1940</v>
      </c>
    </row>
    <row r="435" spans="1:9" x14ac:dyDescent="0.25">
      <c r="A435" s="1" t="s">
        <v>1548</v>
      </c>
      <c r="B435" s="1" t="s">
        <v>1593</v>
      </c>
      <c r="C435" s="2">
        <v>44414</v>
      </c>
      <c r="D435" s="6">
        <f>Tabuľka1383132[[#This Row],[Suma s DPH]]</f>
        <v>16.5</v>
      </c>
      <c r="E435" s="6">
        <v>16.5</v>
      </c>
      <c r="F435" s="1" t="s">
        <v>469</v>
      </c>
      <c r="G435" s="4" t="s">
        <v>1100</v>
      </c>
      <c r="H435" s="4" t="s">
        <v>1100</v>
      </c>
      <c r="I435" s="1" t="s">
        <v>1940</v>
      </c>
    </row>
    <row r="436" spans="1:9" x14ac:dyDescent="0.25">
      <c r="A436" s="1" t="s">
        <v>1549</v>
      </c>
      <c r="B436" s="1" t="s">
        <v>1594</v>
      </c>
      <c r="C436" s="2">
        <v>44414</v>
      </c>
      <c r="D436" s="6">
        <f>Tabuľka1383132[[#This Row],[Suma s DPH]]</f>
        <v>16.5</v>
      </c>
      <c r="E436" s="6">
        <v>16.5</v>
      </c>
      <c r="F436" s="1" t="s">
        <v>469</v>
      </c>
      <c r="G436" s="4" t="s">
        <v>1100</v>
      </c>
      <c r="H436" s="4" t="s">
        <v>1100</v>
      </c>
      <c r="I436" s="1" t="s">
        <v>1940</v>
      </c>
    </row>
    <row r="437" spans="1:9" x14ac:dyDescent="0.25">
      <c r="A437" s="1" t="s">
        <v>1550</v>
      </c>
      <c r="B437" s="1" t="s">
        <v>1595</v>
      </c>
      <c r="C437" s="2">
        <v>44414</v>
      </c>
      <c r="D437" s="6">
        <f>Tabuľka1383132[[#This Row],[Suma s DPH]]</f>
        <v>16.5</v>
      </c>
      <c r="E437" s="6">
        <v>16.5</v>
      </c>
      <c r="F437" s="1" t="s">
        <v>469</v>
      </c>
      <c r="G437" s="4" t="s">
        <v>1100</v>
      </c>
      <c r="H437" s="4" t="s">
        <v>1100</v>
      </c>
      <c r="I437" s="1" t="s">
        <v>1940</v>
      </c>
    </row>
    <row r="438" spans="1:9" x14ac:dyDescent="0.25">
      <c r="A438" s="1" t="s">
        <v>1551</v>
      </c>
      <c r="B438" s="1" t="s">
        <v>1596</v>
      </c>
      <c r="C438" s="2">
        <v>44414</v>
      </c>
      <c r="D438" s="6">
        <f>Tabuľka1383132[[#This Row],[Suma s DPH]]</f>
        <v>16.5</v>
      </c>
      <c r="E438" s="6">
        <v>16.5</v>
      </c>
      <c r="F438" s="1" t="s">
        <v>469</v>
      </c>
      <c r="G438" s="4" t="s">
        <v>1100</v>
      </c>
      <c r="H438" s="4" t="s">
        <v>1100</v>
      </c>
      <c r="I438" s="1" t="s">
        <v>1940</v>
      </c>
    </row>
    <row r="439" spans="1:9" x14ac:dyDescent="0.25">
      <c r="A439" s="1" t="s">
        <v>1552</v>
      </c>
      <c r="B439" s="1" t="s">
        <v>1597</v>
      </c>
      <c r="C439" s="2">
        <v>44414</v>
      </c>
      <c r="D439" s="6">
        <f>Tabuľka1383132[[#This Row],[Suma s DPH]]</f>
        <v>16.5</v>
      </c>
      <c r="E439" s="6">
        <v>16.5</v>
      </c>
      <c r="F439" s="1" t="s">
        <v>469</v>
      </c>
      <c r="G439" s="4" t="s">
        <v>1100</v>
      </c>
      <c r="H439" s="4" t="s">
        <v>1100</v>
      </c>
      <c r="I439" s="1" t="s">
        <v>1940</v>
      </c>
    </row>
    <row r="440" spans="1:9" x14ac:dyDescent="0.25">
      <c r="A440" s="1" t="s">
        <v>1553</v>
      </c>
      <c r="B440" s="1" t="s">
        <v>1598</v>
      </c>
      <c r="C440" s="2">
        <v>44414</v>
      </c>
      <c r="D440" s="6">
        <f>Tabuľka1383132[[#This Row],[Suma s DPH]]</f>
        <v>16.5</v>
      </c>
      <c r="E440" s="6">
        <v>16.5</v>
      </c>
      <c r="F440" s="1" t="s">
        <v>469</v>
      </c>
      <c r="G440" s="4" t="s">
        <v>1100</v>
      </c>
      <c r="H440" s="4" t="s">
        <v>1100</v>
      </c>
      <c r="I440" s="1" t="s">
        <v>1940</v>
      </c>
    </row>
    <row r="441" spans="1:9" x14ac:dyDescent="0.25">
      <c r="A441" s="1" t="s">
        <v>1603</v>
      </c>
      <c r="B441" s="1" t="s">
        <v>1686</v>
      </c>
      <c r="C441" s="2">
        <v>44413</v>
      </c>
      <c r="D441" s="6">
        <v>600</v>
      </c>
      <c r="E441" s="6">
        <f>Tabuľka1383132[[#This Row],[Suma bez DPH]]*1.2</f>
        <v>720</v>
      </c>
      <c r="F441" s="1" t="s">
        <v>506</v>
      </c>
      <c r="G441" s="1" t="s">
        <v>1155</v>
      </c>
      <c r="H441" s="1" t="s">
        <v>1687</v>
      </c>
      <c r="I441" s="1" t="s">
        <v>1688</v>
      </c>
    </row>
    <row r="442" spans="1:9" x14ac:dyDescent="0.25">
      <c r="A442" s="1" t="s">
        <v>1604</v>
      </c>
      <c r="B442" s="1" t="s">
        <v>1689</v>
      </c>
      <c r="C442" s="2">
        <v>44417</v>
      </c>
      <c r="D442" s="6">
        <v>780</v>
      </c>
      <c r="E442" s="6">
        <v>780</v>
      </c>
      <c r="F442" s="1" t="s">
        <v>473</v>
      </c>
      <c r="G442" s="1" t="s">
        <v>1109</v>
      </c>
      <c r="H442" s="1" t="s">
        <v>1110</v>
      </c>
      <c r="I442" s="1" t="s">
        <v>1690</v>
      </c>
    </row>
    <row r="443" spans="1:9" x14ac:dyDescent="0.25">
      <c r="A443" s="1" t="s">
        <v>1605</v>
      </c>
      <c r="B443" s="1" t="s">
        <v>1691</v>
      </c>
      <c r="C443" s="2">
        <v>44417</v>
      </c>
      <c r="D443" s="6">
        <v>49.5</v>
      </c>
      <c r="E443" s="6">
        <v>49.5</v>
      </c>
      <c r="F443" s="1" t="s">
        <v>469</v>
      </c>
      <c r="G443" s="4" t="s">
        <v>1100</v>
      </c>
      <c r="H443" s="4" t="s">
        <v>1100</v>
      </c>
      <c r="I443" s="1" t="s">
        <v>1940</v>
      </c>
    </row>
    <row r="444" spans="1:9" x14ac:dyDescent="0.25">
      <c r="A444" s="1" t="s">
        <v>1606</v>
      </c>
      <c r="B444" s="1" t="s">
        <v>1692</v>
      </c>
      <c r="C444" s="2">
        <v>44417</v>
      </c>
      <c r="D444" s="6">
        <v>36</v>
      </c>
      <c r="E444" s="6">
        <v>36</v>
      </c>
      <c r="F444" s="1" t="s">
        <v>1693</v>
      </c>
      <c r="G444" s="1" t="s">
        <v>1694</v>
      </c>
      <c r="H444" s="4" t="s">
        <v>1100</v>
      </c>
      <c r="I444" s="1" t="s">
        <v>1954</v>
      </c>
    </row>
    <row r="445" spans="1:9" x14ac:dyDescent="0.25">
      <c r="A445" s="1" t="s">
        <v>1607</v>
      </c>
      <c r="B445" s="1" t="s">
        <v>1695</v>
      </c>
      <c r="C445" s="2">
        <v>44418</v>
      </c>
      <c r="D445" s="6">
        <v>72</v>
      </c>
      <c r="E445" s="6">
        <v>72</v>
      </c>
      <c r="F445" s="1" t="s">
        <v>1693</v>
      </c>
      <c r="G445" s="1" t="s">
        <v>1694</v>
      </c>
      <c r="H445" s="4" t="s">
        <v>1100</v>
      </c>
      <c r="I445" s="1" t="s">
        <v>1954</v>
      </c>
    </row>
    <row r="446" spans="1:9" x14ac:dyDescent="0.25">
      <c r="A446" s="1" t="s">
        <v>1608</v>
      </c>
      <c r="B446" s="1" t="s">
        <v>1696</v>
      </c>
      <c r="C446" s="2">
        <v>44418</v>
      </c>
      <c r="D446" s="6">
        <v>72</v>
      </c>
      <c r="E446" s="6">
        <v>72</v>
      </c>
      <c r="F446" s="1" t="s">
        <v>1697</v>
      </c>
      <c r="G446" s="1" t="s">
        <v>1698</v>
      </c>
      <c r="H446" s="4" t="s">
        <v>1100</v>
      </c>
      <c r="I446" s="1" t="s">
        <v>1954</v>
      </c>
    </row>
    <row r="447" spans="1:9" x14ac:dyDescent="0.25">
      <c r="A447" s="1" t="s">
        <v>1609</v>
      </c>
      <c r="B447" s="1" t="s">
        <v>1699</v>
      </c>
      <c r="C447" s="2">
        <v>44418</v>
      </c>
      <c r="D447" s="6">
        <v>72</v>
      </c>
      <c r="E447" s="6">
        <v>72</v>
      </c>
      <c r="F447" s="1" t="s">
        <v>1700</v>
      </c>
      <c r="G447" s="1" t="s">
        <v>1701</v>
      </c>
      <c r="H447" s="4" t="s">
        <v>1100</v>
      </c>
      <c r="I447" s="1" t="s">
        <v>1954</v>
      </c>
    </row>
    <row r="448" spans="1:9" x14ac:dyDescent="0.25">
      <c r="A448" s="1" t="s">
        <v>1610</v>
      </c>
      <c r="B448" s="1" t="s">
        <v>1702</v>
      </c>
      <c r="C448" s="2">
        <v>44418</v>
      </c>
      <c r="D448" s="6">
        <v>72</v>
      </c>
      <c r="E448" s="6">
        <v>72</v>
      </c>
      <c r="F448" s="1" t="s">
        <v>1700</v>
      </c>
      <c r="G448" s="1" t="s">
        <v>1701</v>
      </c>
      <c r="H448" s="4" t="s">
        <v>1100</v>
      </c>
      <c r="I448" s="1" t="s">
        <v>1954</v>
      </c>
    </row>
    <row r="449" spans="1:9" x14ac:dyDescent="0.25">
      <c r="A449" s="1" t="s">
        <v>1611</v>
      </c>
      <c r="B449" s="1" t="s">
        <v>1984</v>
      </c>
      <c r="C449" s="2">
        <v>44238</v>
      </c>
      <c r="D449" s="12">
        <f>Tabuľka1383132[[#This Row],[Suma s DPH]]</f>
        <v>63976</v>
      </c>
      <c r="E449" s="12">
        <v>63976</v>
      </c>
      <c r="F449" s="1" t="s">
        <v>475</v>
      </c>
      <c r="G449" s="1" t="s">
        <v>1115</v>
      </c>
      <c r="H449" s="1" t="s">
        <v>1116</v>
      </c>
      <c r="I449" s="1" t="s">
        <v>1985</v>
      </c>
    </row>
    <row r="450" spans="1:9" x14ac:dyDescent="0.25">
      <c r="A450" s="1" t="s">
        <v>1612</v>
      </c>
      <c r="B450" s="1" t="s">
        <v>1703</v>
      </c>
      <c r="C450" s="2">
        <v>44418</v>
      </c>
      <c r="D450" s="6">
        <v>31.2</v>
      </c>
      <c r="E450" s="6">
        <v>31.2</v>
      </c>
      <c r="F450" s="1" t="s">
        <v>468</v>
      </c>
      <c r="G450" s="1" t="s">
        <v>1098</v>
      </c>
      <c r="H450" s="7" t="s">
        <v>1108</v>
      </c>
      <c r="I450" s="1" t="s">
        <v>1704</v>
      </c>
    </row>
    <row r="451" spans="1:9" x14ac:dyDescent="0.25">
      <c r="A451" s="1" t="s">
        <v>1613</v>
      </c>
      <c r="B451" s="1" t="s">
        <v>1705</v>
      </c>
      <c r="C451" s="2">
        <v>44418</v>
      </c>
      <c r="D451" s="6">
        <v>1045.82</v>
      </c>
      <c r="E451" s="6">
        <v>1254.98</v>
      </c>
      <c r="F451" s="1" t="s">
        <v>468</v>
      </c>
      <c r="G451" s="1" t="s">
        <v>1098</v>
      </c>
      <c r="H451" s="7" t="s">
        <v>1108</v>
      </c>
      <c r="I451" s="1" t="s">
        <v>1706</v>
      </c>
    </row>
    <row r="452" spans="1:9" x14ac:dyDescent="0.25">
      <c r="A452" s="1" t="s">
        <v>1614</v>
      </c>
      <c r="B452" s="1" t="s">
        <v>1707</v>
      </c>
      <c r="C452" s="2">
        <v>44418</v>
      </c>
      <c r="D452" s="6">
        <v>250.88</v>
      </c>
      <c r="E452" s="6">
        <v>301.06</v>
      </c>
      <c r="F452" s="1" t="s">
        <v>468</v>
      </c>
      <c r="G452" s="1" t="s">
        <v>1098</v>
      </c>
      <c r="H452" s="7" t="s">
        <v>1108</v>
      </c>
      <c r="I452" s="1" t="s">
        <v>1708</v>
      </c>
    </row>
    <row r="453" spans="1:9" x14ac:dyDescent="0.25">
      <c r="A453" s="1" t="s">
        <v>1615</v>
      </c>
      <c r="B453" s="1" t="s">
        <v>1709</v>
      </c>
      <c r="C453" s="2">
        <v>44419</v>
      </c>
      <c r="D453" s="6">
        <v>15</v>
      </c>
      <c r="E453" s="6">
        <v>18</v>
      </c>
      <c r="F453" s="1" t="s">
        <v>468</v>
      </c>
      <c r="G453" s="1" t="s">
        <v>1098</v>
      </c>
      <c r="H453" s="7" t="s">
        <v>1108</v>
      </c>
      <c r="I453" s="1" t="s">
        <v>1710</v>
      </c>
    </row>
    <row r="454" spans="1:9" x14ac:dyDescent="0.25">
      <c r="A454" s="1" t="s">
        <v>1616</v>
      </c>
      <c r="B454" s="1" t="s">
        <v>1711</v>
      </c>
      <c r="C454" s="2">
        <v>44419</v>
      </c>
      <c r="D454" s="6">
        <v>3293.33</v>
      </c>
      <c r="E454" s="6">
        <v>3952</v>
      </c>
      <c r="F454" s="1" t="s">
        <v>468</v>
      </c>
      <c r="G454" s="1" t="s">
        <v>1098</v>
      </c>
      <c r="H454" s="7" t="s">
        <v>1108</v>
      </c>
      <c r="I454" s="1" t="s">
        <v>1712</v>
      </c>
    </row>
    <row r="455" spans="1:9" x14ac:dyDescent="0.25">
      <c r="A455" s="1" t="s">
        <v>1617</v>
      </c>
      <c r="B455" s="1" t="s">
        <v>1713</v>
      </c>
      <c r="C455" s="2">
        <v>44419</v>
      </c>
      <c r="D455" s="6">
        <v>7.09</v>
      </c>
      <c r="E455" s="6">
        <v>8.51</v>
      </c>
      <c r="F455" s="1" t="s">
        <v>468</v>
      </c>
      <c r="G455" s="1" t="s">
        <v>1098</v>
      </c>
      <c r="H455" s="7" t="s">
        <v>1108</v>
      </c>
      <c r="I455" s="1" t="s">
        <v>1714</v>
      </c>
    </row>
    <row r="456" spans="1:9" x14ac:dyDescent="0.25">
      <c r="A456" s="1" t="s">
        <v>1618</v>
      </c>
      <c r="B456" s="1" t="s">
        <v>1715</v>
      </c>
      <c r="C456" s="2">
        <v>44419</v>
      </c>
      <c r="D456" s="6">
        <v>20.789000000000001</v>
      </c>
      <c r="E456" s="6">
        <v>24.94</v>
      </c>
      <c r="F456" s="1" t="s">
        <v>468</v>
      </c>
      <c r="G456" s="1" t="s">
        <v>1098</v>
      </c>
      <c r="H456" s="7" t="s">
        <v>1108</v>
      </c>
      <c r="I456" s="1" t="s">
        <v>1716</v>
      </c>
    </row>
    <row r="457" spans="1:9" x14ac:dyDescent="0.25">
      <c r="A457" s="1" t="s">
        <v>1619</v>
      </c>
      <c r="B457" s="1" t="s">
        <v>1718</v>
      </c>
      <c r="C457" s="2">
        <v>44419</v>
      </c>
      <c r="D457" s="30">
        <f>Tabuľka1383132[[#This Row],[Suma s DPH]]/1.2</f>
        <v>-111.94166666666668</v>
      </c>
      <c r="E457" s="30">
        <v>-134.33000000000001</v>
      </c>
      <c r="F457" s="1" t="s">
        <v>504</v>
      </c>
      <c r="G457" s="1" t="s">
        <v>1107</v>
      </c>
      <c r="H457" s="1" t="s">
        <v>1108</v>
      </c>
      <c r="I457" s="1" t="s">
        <v>1717</v>
      </c>
    </row>
    <row r="458" spans="1:9" x14ac:dyDescent="0.25">
      <c r="A458" s="1" t="s">
        <v>1620</v>
      </c>
      <c r="B458" s="1" t="s">
        <v>1719</v>
      </c>
      <c r="C458" s="2">
        <v>44419</v>
      </c>
      <c r="D458" s="6">
        <v>950</v>
      </c>
      <c r="E458" s="6">
        <v>950</v>
      </c>
      <c r="F458" s="1" t="s">
        <v>1720</v>
      </c>
      <c r="G458" s="1" t="s">
        <v>1166</v>
      </c>
      <c r="H458" s="1" t="s">
        <v>1721</v>
      </c>
      <c r="I458" s="1" t="s">
        <v>1722</v>
      </c>
    </row>
    <row r="459" spans="1:9" x14ac:dyDescent="0.25">
      <c r="A459" s="1" t="s">
        <v>1621</v>
      </c>
      <c r="B459" s="1" t="s">
        <v>1724</v>
      </c>
      <c r="C459" s="2">
        <v>44418</v>
      </c>
      <c r="D459" s="6">
        <v>16.5</v>
      </c>
      <c r="E459" s="6">
        <v>19.8</v>
      </c>
      <c r="F459" s="1" t="s">
        <v>479</v>
      </c>
      <c r="G459" s="1" t="s">
        <v>1124</v>
      </c>
      <c r="H459" s="22" t="s">
        <v>1964</v>
      </c>
      <c r="I459" s="1" t="s">
        <v>1942</v>
      </c>
    </row>
    <row r="460" spans="1:9" x14ac:dyDescent="0.25">
      <c r="A460" s="1" t="s">
        <v>1622</v>
      </c>
      <c r="B460" s="1" t="s">
        <v>1725</v>
      </c>
      <c r="C460" s="2">
        <v>44418</v>
      </c>
      <c r="D460" s="6">
        <v>16.5</v>
      </c>
      <c r="E460" s="6">
        <v>19.8</v>
      </c>
      <c r="F460" s="1" t="s">
        <v>479</v>
      </c>
      <c r="G460" s="1" t="s">
        <v>1124</v>
      </c>
      <c r="H460" s="22" t="s">
        <v>1964</v>
      </c>
      <c r="I460" s="1" t="s">
        <v>1942</v>
      </c>
    </row>
    <row r="461" spans="1:9" x14ac:dyDescent="0.25">
      <c r="A461" s="1" t="s">
        <v>1623</v>
      </c>
      <c r="B461" s="1" t="s">
        <v>1726</v>
      </c>
      <c r="C461" s="2">
        <v>44418</v>
      </c>
      <c r="D461" s="6">
        <v>16.5</v>
      </c>
      <c r="E461" s="6">
        <v>19.8</v>
      </c>
      <c r="F461" s="1" t="s">
        <v>479</v>
      </c>
      <c r="G461" s="1" t="s">
        <v>1124</v>
      </c>
      <c r="H461" s="22" t="s">
        <v>1964</v>
      </c>
      <c r="I461" s="1" t="s">
        <v>1942</v>
      </c>
    </row>
    <row r="462" spans="1:9" x14ac:dyDescent="0.25">
      <c r="A462" s="1" t="s">
        <v>1624</v>
      </c>
      <c r="B462" s="1" t="s">
        <v>1727</v>
      </c>
      <c r="C462" s="2">
        <v>44418</v>
      </c>
      <c r="D462" s="6">
        <v>16.5</v>
      </c>
      <c r="E462" s="6">
        <v>19.8</v>
      </c>
      <c r="F462" s="1" t="s">
        <v>479</v>
      </c>
      <c r="G462" s="1" t="s">
        <v>1124</v>
      </c>
      <c r="H462" s="22" t="s">
        <v>1964</v>
      </c>
      <c r="I462" s="1" t="s">
        <v>1942</v>
      </c>
    </row>
    <row r="463" spans="1:9" x14ac:dyDescent="0.25">
      <c r="A463" s="1" t="s">
        <v>1625</v>
      </c>
      <c r="B463" s="1" t="s">
        <v>1728</v>
      </c>
      <c r="C463" s="2">
        <v>44418</v>
      </c>
      <c r="D463" s="6">
        <v>16.5</v>
      </c>
      <c r="E463" s="6">
        <v>19.8</v>
      </c>
      <c r="F463" s="1" t="s">
        <v>479</v>
      </c>
      <c r="G463" s="1" t="s">
        <v>1124</v>
      </c>
      <c r="H463" s="22" t="s">
        <v>1964</v>
      </c>
      <c r="I463" s="1" t="s">
        <v>1942</v>
      </c>
    </row>
    <row r="464" spans="1:9" x14ac:dyDescent="0.25">
      <c r="A464" s="1" t="s">
        <v>1626</v>
      </c>
      <c r="B464" s="1" t="s">
        <v>1729</v>
      </c>
      <c r="C464" s="2">
        <v>44418</v>
      </c>
      <c r="D464" s="6">
        <v>16.5</v>
      </c>
      <c r="E464" s="6">
        <v>19.8</v>
      </c>
      <c r="F464" s="1" t="s">
        <v>479</v>
      </c>
      <c r="G464" s="1" t="s">
        <v>1124</v>
      </c>
      <c r="H464" s="22" t="s">
        <v>1964</v>
      </c>
      <c r="I464" s="1" t="s">
        <v>1942</v>
      </c>
    </row>
    <row r="465" spans="1:9" x14ac:dyDescent="0.25">
      <c r="A465" s="1" t="s">
        <v>1627</v>
      </c>
      <c r="B465" s="1" t="s">
        <v>1730</v>
      </c>
      <c r="C465" s="2">
        <v>44418</v>
      </c>
      <c r="D465" s="6">
        <v>16.5</v>
      </c>
      <c r="E465" s="6">
        <v>19.8</v>
      </c>
      <c r="F465" s="1" t="s">
        <v>479</v>
      </c>
      <c r="G465" s="1" t="s">
        <v>1124</v>
      </c>
      <c r="H465" s="22" t="s">
        <v>1964</v>
      </c>
      <c r="I465" s="1" t="s">
        <v>1942</v>
      </c>
    </row>
    <row r="466" spans="1:9" x14ac:dyDescent="0.25">
      <c r="A466" s="1" t="s">
        <v>1628</v>
      </c>
      <c r="B466" s="1" t="s">
        <v>1731</v>
      </c>
      <c r="C466" s="2">
        <v>44418</v>
      </c>
      <c r="D466" s="6">
        <v>16.5</v>
      </c>
      <c r="E466" s="6">
        <v>19.8</v>
      </c>
      <c r="F466" s="1" t="s">
        <v>479</v>
      </c>
      <c r="G466" s="1" t="s">
        <v>1124</v>
      </c>
      <c r="H466" s="22" t="s">
        <v>1964</v>
      </c>
      <c r="I466" s="1" t="s">
        <v>1942</v>
      </c>
    </row>
    <row r="467" spans="1:9" x14ac:dyDescent="0.25">
      <c r="A467" s="1" t="s">
        <v>1629</v>
      </c>
      <c r="B467" s="1" t="s">
        <v>1732</v>
      </c>
      <c r="C467" s="2">
        <v>44418</v>
      </c>
      <c r="D467" s="6">
        <v>16.5</v>
      </c>
      <c r="E467" s="6">
        <v>19.8</v>
      </c>
      <c r="F467" s="1" t="s">
        <v>479</v>
      </c>
      <c r="G467" s="1" t="s">
        <v>1124</v>
      </c>
      <c r="H467" s="22" t="s">
        <v>1964</v>
      </c>
      <c r="I467" s="1" t="s">
        <v>1942</v>
      </c>
    </row>
    <row r="468" spans="1:9" x14ac:dyDescent="0.25">
      <c r="A468" s="1" t="s">
        <v>1630</v>
      </c>
      <c r="B468" s="1" t="s">
        <v>1723</v>
      </c>
      <c r="C468" s="2">
        <v>44419</v>
      </c>
      <c r="D468" s="6">
        <v>165.96</v>
      </c>
      <c r="E468" s="6">
        <v>199.15</v>
      </c>
      <c r="F468" s="1" t="s">
        <v>466</v>
      </c>
      <c r="G468" s="1" t="s">
        <v>1105</v>
      </c>
      <c r="H468" s="1" t="s">
        <v>1106</v>
      </c>
      <c r="I468" s="1" t="s">
        <v>1368</v>
      </c>
    </row>
    <row r="469" spans="1:9" x14ac:dyDescent="0.25">
      <c r="A469" s="1" t="s">
        <v>1631</v>
      </c>
      <c r="B469" s="1" t="s">
        <v>1735</v>
      </c>
      <c r="C469" s="2">
        <v>44419</v>
      </c>
      <c r="D469" s="12">
        <f>Tabuľka1383132[[#This Row],[Suma s DPH]]/1.2</f>
        <v>20564.583333333336</v>
      </c>
      <c r="E469" s="12">
        <f>30492.5-5815</f>
        <v>24677.5</v>
      </c>
      <c r="F469" s="1" t="s">
        <v>475</v>
      </c>
      <c r="G469" s="1" t="s">
        <v>1115</v>
      </c>
      <c r="H469" s="1" t="s">
        <v>1116</v>
      </c>
      <c r="I469" s="1" t="s">
        <v>1734</v>
      </c>
    </row>
    <row r="470" spans="1:9" x14ac:dyDescent="0.25">
      <c r="A470" s="1" t="s">
        <v>1632</v>
      </c>
      <c r="B470" s="1" t="s">
        <v>1733</v>
      </c>
      <c r="C470" s="2">
        <v>44418</v>
      </c>
      <c r="D470" s="6">
        <v>16.5</v>
      </c>
      <c r="E470" s="6">
        <v>19.8</v>
      </c>
      <c r="F470" s="1" t="s">
        <v>479</v>
      </c>
      <c r="G470" s="1" t="s">
        <v>1124</v>
      </c>
      <c r="H470" s="22" t="s">
        <v>1964</v>
      </c>
      <c r="I470" s="1" t="s">
        <v>1942</v>
      </c>
    </row>
    <row r="471" spans="1:9" x14ac:dyDescent="0.25">
      <c r="A471" s="1" t="s">
        <v>1633</v>
      </c>
      <c r="B471" s="1" t="s">
        <v>1822</v>
      </c>
      <c r="C471" s="2">
        <v>44424</v>
      </c>
      <c r="D471" s="6">
        <v>52712</v>
      </c>
      <c r="E471" s="6">
        <v>52712</v>
      </c>
      <c r="F471" s="1" t="s">
        <v>475</v>
      </c>
      <c r="G471" s="1" t="s">
        <v>1115</v>
      </c>
      <c r="H471" s="1" t="s">
        <v>1116</v>
      </c>
      <c r="I471" s="1" t="s">
        <v>1998</v>
      </c>
    </row>
    <row r="472" spans="1:9" x14ac:dyDescent="0.25">
      <c r="A472" s="1" t="s">
        <v>1634</v>
      </c>
      <c r="B472" s="1" t="s">
        <v>1823</v>
      </c>
      <c r="C472" s="2">
        <v>44255</v>
      </c>
      <c r="D472" s="6">
        <v>5946.4</v>
      </c>
      <c r="E472" s="6">
        <v>5946.4</v>
      </c>
      <c r="F472" s="1" t="s">
        <v>475</v>
      </c>
      <c r="G472" s="1" t="s">
        <v>1115</v>
      </c>
      <c r="H472" s="1" t="s">
        <v>1116</v>
      </c>
      <c r="I472" s="1" t="s">
        <v>1999</v>
      </c>
    </row>
    <row r="473" spans="1:9" x14ac:dyDescent="0.25">
      <c r="A473" s="1" t="s">
        <v>1635</v>
      </c>
      <c r="B473" s="1" t="s">
        <v>1822</v>
      </c>
      <c r="C473" s="2">
        <v>44270</v>
      </c>
      <c r="D473" s="6">
        <v>50889</v>
      </c>
      <c r="E473" s="6">
        <v>50889</v>
      </c>
      <c r="F473" s="1" t="s">
        <v>475</v>
      </c>
      <c r="G473" s="1" t="s">
        <v>1115</v>
      </c>
      <c r="H473" s="1" t="s">
        <v>1116</v>
      </c>
      <c r="I473" s="1" t="s">
        <v>2000</v>
      </c>
    </row>
    <row r="474" spans="1:9" x14ac:dyDescent="0.25">
      <c r="A474" s="1" t="s">
        <v>1636</v>
      </c>
      <c r="B474" s="1" t="s">
        <v>1824</v>
      </c>
      <c r="C474" s="2">
        <v>44316</v>
      </c>
      <c r="D474" s="6">
        <v>32714</v>
      </c>
      <c r="E474" s="6">
        <v>32714</v>
      </c>
      <c r="F474" s="1" t="s">
        <v>475</v>
      </c>
      <c r="G474" s="1" t="s">
        <v>1115</v>
      </c>
      <c r="H474" s="1" t="s">
        <v>1116</v>
      </c>
      <c r="I474" s="1" t="s">
        <v>2001</v>
      </c>
    </row>
    <row r="475" spans="1:9" x14ac:dyDescent="0.25">
      <c r="A475" s="1" t="s">
        <v>1637</v>
      </c>
      <c r="B475" s="1" t="s">
        <v>1825</v>
      </c>
      <c r="C475" s="2">
        <v>44321</v>
      </c>
      <c r="D475" s="6">
        <v>7270</v>
      </c>
      <c r="E475" s="6">
        <v>7270</v>
      </c>
      <c r="F475" s="1" t="s">
        <v>475</v>
      </c>
      <c r="G475" s="1" t="s">
        <v>1115</v>
      </c>
      <c r="H475" s="1" t="s">
        <v>1116</v>
      </c>
      <c r="I475" s="1" t="s">
        <v>2002</v>
      </c>
    </row>
    <row r="476" spans="1:9" x14ac:dyDescent="0.25">
      <c r="A476" s="1" t="s">
        <v>1638</v>
      </c>
      <c r="B476" s="1" t="s">
        <v>1826</v>
      </c>
      <c r="C476" s="2">
        <v>44351</v>
      </c>
      <c r="D476" s="6">
        <v>5815</v>
      </c>
      <c r="E476" s="6">
        <v>5815</v>
      </c>
      <c r="F476" s="1" t="s">
        <v>475</v>
      </c>
      <c r="G476" s="1" t="s">
        <v>1115</v>
      </c>
      <c r="H476" s="1" t="s">
        <v>1116</v>
      </c>
      <c r="I476" s="1" t="s">
        <v>2003</v>
      </c>
    </row>
    <row r="477" spans="1:9" x14ac:dyDescent="0.25">
      <c r="A477" s="1" t="s">
        <v>1639</v>
      </c>
      <c r="B477" s="1" t="s">
        <v>1827</v>
      </c>
      <c r="C477" s="2">
        <v>44383</v>
      </c>
      <c r="D477" s="6">
        <v>5815</v>
      </c>
      <c r="E477" s="6">
        <v>5815</v>
      </c>
      <c r="F477" s="1" t="s">
        <v>475</v>
      </c>
      <c r="G477" s="1" t="s">
        <v>1115</v>
      </c>
      <c r="H477" s="1" t="s">
        <v>1116</v>
      </c>
      <c r="I477" s="1" t="s">
        <v>2004</v>
      </c>
    </row>
    <row r="478" spans="1:9" x14ac:dyDescent="0.25">
      <c r="A478" s="1" t="s">
        <v>1640</v>
      </c>
      <c r="B478" s="1" t="s">
        <v>1828</v>
      </c>
      <c r="C478" s="2">
        <v>44410</v>
      </c>
      <c r="D478" s="6">
        <v>5815</v>
      </c>
      <c r="E478" s="6">
        <v>5815</v>
      </c>
      <c r="F478" s="1" t="s">
        <v>475</v>
      </c>
      <c r="G478" s="1" t="s">
        <v>1115</v>
      </c>
      <c r="H478" s="1" t="s">
        <v>1116</v>
      </c>
      <c r="I478" s="1" t="s">
        <v>2005</v>
      </c>
    </row>
    <row r="479" spans="1:9" x14ac:dyDescent="0.25">
      <c r="A479" s="1" t="s">
        <v>1641</v>
      </c>
      <c r="B479" s="1" t="s">
        <v>1829</v>
      </c>
      <c r="C479" s="2">
        <v>44302</v>
      </c>
      <c r="D479" s="6">
        <v>5300.65</v>
      </c>
      <c r="E479" s="6">
        <v>5300.65</v>
      </c>
      <c r="F479" s="1" t="s">
        <v>475</v>
      </c>
      <c r="G479" s="1" t="s">
        <v>1115</v>
      </c>
      <c r="H479" s="1" t="s">
        <v>1116</v>
      </c>
      <c r="I479" s="1" t="s">
        <v>2006</v>
      </c>
    </row>
    <row r="480" spans="1:9" x14ac:dyDescent="0.25">
      <c r="A480" s="1" t="s">
        <v>1642</v>
      </c>
      <c r="B480" s="1" t="s">
        <v>1830</v>
      </c>
      <c r="C480" s="2">
        <v>44238</v>
      </c>
      <c r="D480" s="29">
        <v>-1434.49</v>
      </c>
      <c r="E480" s="29">
        <v>-1434.49</v>
      </c>
      <c r="F480" s="1" t="s">
        <v>475</v>
      </c>
      <c r="G480" s="1" t="s">
        <v>1115</v>
      </c>
      <c r="H480" s="1" t="s">
        <v>1116</v>
      </c>
      <c r="I480" s="1" t="s">
        <v>2007</v>
      </c>
    </row>
    <row r="481" spans="1:9" x14ac:dyDescent="0.25">
      <c r="A481" s="1" t="s">
        <v>1643</v>
      </c>
      <c r="B481" s="1" t="s">
        <v>757</v>
      </c>
      <c r="C481" s="2">
        <v>44327</v>
      </c>
      <c r="D481" s="6">
        <v>15855.98</v>
      </c>
      <c r="E481" s="6">
        <v>15855.98</v>
      </c>
      <c r="F481" s="1" t="s">
        <v>475</v>
      </c>
      <c r="G481" s="1" t="s">
        <v>1115</v>
      </c>
      <c r="H481" s="1" t="s">
        <v>1116</v>
      </c>
      <c r="I481" s="1" t="s">
        <v>2008</v>
      </c>
    </row>
    <row r="482" spans="1:9" x14ac:dyDescent="0.25">
      <c r="A482" s="1" t="s">
        <v>1644</v>
      </c>
      <c r="B482" s="1" t="s">
        <v>1831</v>
      </c>
      <c r="C482" s="2">
        <v>44358</v>
      </c>
      <c r="D482" s="6">
        <v>31162.240000000002</v>
      </c>
      <c r="E482" s="6">
        <v>31162.240000000002</v>
      </c>
      <c r="F482" s="1" t="s">
        <v>475</v>
      </c>
      <c r="G482" s="1" t="s">
        <v>1115</v>
      </c>
      <c r="H482" s="1" t="s">
        <v>1116</v>
      </c>
      <c r="I482" s="1" t="s">
        <v>2009</v>
      </c>
    </row>
    <row r="483" spans="1:9" x14ac:dyDescent="0.25">
      <c r="A483" s="1" t="s">
        <v>1645</v>
      </c>
      <c r="B483" s="1" t="s">
        <v>1245</v>
      </c>
      <c r="C483" s="2">
        <v>44389</v>
      </c>
      <c r="D483" s="6">
        <v>25459.72</v>
      </c>
      <c r="E483" s="6">
        <v>25459.72</v>
      </c>
      <c r="F483" s="1" t="s">
        <v>475</v>
      </c>
      <c r="G483" s="1" t="s">
        <v>1115</v>
      </c>
      <c r="H483" s="1" t="s">
        <v>1116</v>
      </c>
      <c r="I483" s="1" t="s">
        <v>2010</v>
      </c>
    </row>
    <row r="484" spans="1:9" x14ac:dyDescent="0.25">
      <c r="A484" s="1" t="s">
        <v>1646</v>
      </c>
      <c r="B484" s="1" t="s">
        <v>1832</v>
      </c>
      <c r="C484" s="2">
        <v>44418</v>
      </c>
      <c r="D484" s="6">
        <v>24677.5</v>
      </c>
      <c r="E484" s="6">
        <v>24677.5</v>
      </c>
      <c r="F484" s="1" t="s">
        <v>475</v>
      </c>
      <c r="G484" s="1" t="s">
        <v>1115</v>
      </c>
      <c r="H484" s="1" t="s">
        <v>1116</v>
      </c>
      <c r="I484" s="1" t="s">
        <v>2011</v>
      </c>
    </row>
    <row r="485" spans="1:9" x14ac:dyDescent="0.25">
      <c r="A485" s="1" t="s">
        <v>1647</v>
      </c>
      <c r="B485" s="1" t="s">
        <v>1756</v>
      </c>
      <c r="C485" s="2">
        <v>44424</v>
      </c>
      <c r="D485" s="6">
        <v>293</v>
      </c>
      <c r="E485" s="6">
        <f>Tabuľka1383132[[#This Row],[Suma bez DPH]]*1.2</f>
        <v>351.59999999999997</v>
      </c>
      <c r="F485" s="1" t="s">
        <v>468</v>
      </c>
      <c r="G485" s="1" t="s">
        <v>1098</v>
      </c>
      <c r="H485" s="7" t="s">
        <v>1108</v>
      </c>
      <c r="I485" s="1" t="s">
        <v>1757</v>
      </c>
    </row>
    <row r="486" spans="1:9" x14ac:dyDescent="0.25">
      <c r="A486" s="1" t="s">
        <v>1648</v>
      </c>
      <c r="B486" s="1" t="s">
        <v>1758</v>
      </c>
      <c r="C486" s="2">
        <v>44424</v>
      </c>
      <c r="D486" s="29">
        <f>-6.02</f>
        <v>-6.02</v>
      </c>
      <c r="E486" s="29">
        <f>Tabuľka1383132[[#This Row],[Suma bez DPH]]*1.2</f>
        <v>-7.2239999999999993</v>
      </c>
      <c r="F486" s="1" t="s">
        <v>468</v>
      </c>
      <c r="G486" s="1" t="s">
        <v>1098</v>
      </c>
      <c r="H486" s="7" t="s">
        <v>1108</v>
      </c>
      <c r="I486" s="1" t="s">
        <v>1759</v>
      </c>
    </row>
    <row r="487" spans="1:9" x14ac:dyDescent="0.25">
      <c r="A487" s="1" t="s">
        <v>1649</v>
      </c>
      <c r="B487" s="1" t="s">
        <v>1760</v>
      </c>
      <c r="C487" s="2">
        <v>44424</v>
      </c>
      <c r="D487" s="6">
        <v>1567.17</v>
      </c>
      <c r="E487" s="6">
        <f>Tabuľka1383132[[#This Row],[Suma bez DPH]]*1.2</f>
        <v>1880.604</v>
      </c>
      <c r="F487" s="1" t="s">
        <v>468</v>
      </c>
      <c r="G487" s="1" t="s">
        <v>1098</v>
      </c>
      <c r="H487" s="7" t="s">
        <v>1983</v>
      </c>
      <c r="I487" s="1" t="s">
        <v>1761</v>
      </c>
    </row>
    <row r="488" spans="1:9" x14ac:dyDescent="0.25">
      <c r="A488" s="1" t="s">
        <v>1650</v>
      </c>
      <c r="B488" s="1" t="s">
        <v>1762</v>
      </c>
      <c r="C488" s="2">
        <v>44426</v>
      </c>
      <c r="D488" s="6">
        <v>50.76</v>
      </c>
      <c r="E488" s="6">
        <f>Tabuľka1383132[[#This Row],[Suma bez DPH]]*1.2-0.01</f>
        <v>60.901999999999994</v>
      </c>
      <c r="F488" s="1" t="s">
        <v>467</v>
      </c>
      <c r="G488" s="22" t="s">
        <v>1099</v>
      </c>
      <c r="H488" s="1" t="s">
        <v>1117</v>
      </c>
      <c r="I488" s="1" t="s">
        <v>1763</v>
      </c>
    </row>
    <row r="489" spans="1:9" x14ac:dyDescent="0.25">
      <c r="A489" s="1" t="s">
        <v>1651</v>
      </c>
      <c r="B489" s="1" t="s">
        <v>1764</v>
      </c>
      <c r="C489" s="2">
        <v>44426</v>
      </c>
      <c r="D489" s="6">
        <v>35</v>
      </c>
      <c r="E489" s="6">
        <v>42</v>
      </c>
      <c r="F489" s="1" t="s">
        <v>470</v>
      </c>
      <c r="G489" s="1" t="s">
        <v>1101</v>
      </c>
      <c r="H489" s="1" t="s">
        <v>1102</v>
      </c>
      <c r="I489" s="1" t="s">
        <v>1765</v>
      </c>
    </row>
    <row r="490" spans="1:9" x14ac:dyDescent="0.25">
      <c r="A490" s="1" t="s">
        <v>1652</v>
      </c>
      <c r="B490" s="1" t="s">
        <v>1767</v>
      </c>
      <c r="C490" s="2">
        <v>44426</v>
      </c>
      <c r="D490" s="6">
        <v>35</v>
      </c>
      <c r="E490" s="6">
        <v>42</v>
      </c>
      <c r="F490" s="1" t="s">
        <v>470</v>
      </c>
      <c r="G490" s="1" t="s">
        <v>1101</v>
      </c>
      <c r="H490" s="1" t="s">
        <v>1102</v>
      </c>
      <c r="I490" s="1" t="s">
        <v>1766</v>
      </c>
    </row>
    <row r="491" spans="1:9" x14ac:dyDescent="0.25">
      <c r="A491" s="1" t="s">
        <v>1653</v>
      </c>
      <c r="B491" s="1" t="s">
        <v>1768</v>
      </c>
      <c r="C491" s="2">
        <v>44428</v>
      </c>
      <c r="D491" s="6">
        <v>43</v>
      </c>
      <c r="E491" s="6">
        <v>51.6</v>
      </c>
      <c r="F491" s="1" t="s">
        <v>468</v>
      </c>
      <c r="G491" s="1" t="s">
        <v>1098</v>
      </c>
      <c r="H491" s="7" t="s">
        <v>1108</v>
      </c>
      <c r="I491" s="1" t="s">
        <v>1769</v>
      </c>
    </row>
    <row r="492" spans="1:9" x14ac:dyDescent="0.25">
      <c r="A492" s="1" t="s">
        <v>1654</v>
      </c>
      <c r="B492" s="1" t="s">
        <v>1770</v>
      </c>
      <c r="C492" s="2">
        <v>44428</v>
      </c>
      <c r="D492" s="6">
        <v>18.66</v>
      </c>
      <c r="E492" s="6">
        <v>22.39</v>
      </c>
      <c r="F492" s="1" t="s">
        <v>468</v>
      </c>
      <c r="G492" s="1" t="s">
        <v>1098</v>
      </c>
      <c r="H492" s="7" t="s">
        <v>1108</v>
      </c>
      <c r="I492" s="1" t="s">
        <v>1771</v>
      </c>
    </row>
    <row r="493" spans="1:9" x14ac:dyDescent="0.25">
      <c r="A493" s="1" t="s">
        <v>1655</v>
      </c>
      <c r="B493" s="1" t="s">
        <v>1773</v>
      </c>
      <c r="C493" s="2">
        <v>44428</v>
      </c>
      <c r="D493" s="6">
        <v>1241.01</v>
      </c>
      <c r="E493" s="6">
        <f>Tabuľka1383132[[#This Row],[Suma bez DPH]]*1.2</f>
        <v>1489.212</v>
      </c>
      <c r="F493" s="1" t="s">
        <v>468</v>
      </c>
      <c r="G493" s="1" t="s">
        <v>1098</v>
      </c>
      <c r="H493" s="7" t="s">
        <v>1108</v>
      </c>
      <c r="I493" s="1" t="s">
        <v>1772</v>
      </c>
    </row>
    <row r="494" spans="1:9" x14ac:dyDescent="0.25">
      <c r="A494" s="1" t="s">
        <v>1656</v>
      </c>
      <c r="B494" s="1" t="s">
        <v>1744</v>
      </c>
      <c r="C494" s="2">
        <v>44428</v>
      </c>
      <c r="D494" s="29">
        <v>-1.88</v>
      </c>
      <c r="E494" s="29">
        <f>Tabuľka1383132[[#This Row],[Suma bez DPH]]*1.2</f>
        <v>-2.2559999999999998</v>
      </c>
      <c r="F494" s="1" t="s">
        <v>468</v>
      </c>
      <c r="G494" s="1" t="s">
        <v>1098</v>
      </c>
      <c r="H494" s="7" t="s">
        <v>1108</v>
      </c>
      <c r="I494" s="1" t="s">
        <v>1745</v>
      </c>
    </row>
    <row r="495" spans="1:9" x14ac:dyDescent="0.25">
      <c r="A495" s="1" t="s">
        <v>1746</v>
      </c>
      <c r="B495" s="1" t="s">
        <v>1751</v>
      </c>
      <c r="C495" s="2">
        <v>44434</v>
      </c>
      <c r="D495" s="24">
        <v>4056.5</v>
      </c>
      <c r="E495" s="21">
        <v>4056.5</v>
      </c>
      <c r="F495" s="1" t="s">
        <v>486</v>
      </c>
      <c r="G495" s="1" t="s">
        <v>1133</v>
      </c>
      <c r="H495" s="7" t="s">
        <v>1752</v>
      </c>
      <c r="I495" s="1" t="s">
        <v>1753</v>
      </c>
    </row>
    <row r="496" spans="1:9" x14ac:dyDescent="0.25">
      <c r="A496" s="1" t="s">
        <v>1747</v>
      </c>
      <c r="B496" s="1" t="s">
        <v>1754</v>
      </c>
      <c r="C496" s="2">
        <v>44432</v>
      </c>
      <c r="D496" s="21">
        <v>55</v>
      </c>
      <c r="E496" s="21">
        <v>55</v>
      </c>
      <c r="F496" s="1" t="s">
        <v>469</v>
      </c>
      <c r="G496" s="4" t="s">
        <v>1100</v>
      </c>
      <c r="H496" s="4" t="s">
        <v>1100</v>
      </c>
      <c r="I496" s="1" t="s">
        <v>1940</v>
      </c>
    </row>
    <row r="497" spans="1:9" x14ac:dyDescent="0.25">
      <c r="A497" s="1" t="s">
        <v>1748</v>
      </c>
      <c r="B497" s="1" t="s">
        <v>1755</v>
      </c>
      <c r="C497" s="2">
        <v>44432</v>
      </c>
      <c r="D497" s="21">
        <v>25.5</v>
      </c>
      <c r="E497" s="21">
        <v>25.5</v>
      </c>
      <c r="F497" s="1" t="s">
        <v>469</v>
      </c>
      <c r="G497" s="4" t="s">
        <v>1100</v>
      </c>
      <c r="H497" s="4" t="s">
        <v>1100</v>
      </c>
      <c r="I497" s="1" t="s">
        <v>1940</v>
      </c>
    </row>
    <row r="498" spans="1:9" x14ac:dyDescent="0.25">
      <c r="A498" s="1" t="s">
        <v>1749</v>
      </c>
      <c r="B498" s="1" t="s">
        <v>1775</v>
      </c>
      <c r="C498" s="2">
        <v>44435</v>
      </c>
      <c r="D498" s="21">
        <v>26</v>
      </c>
      <c r="E498" s="21">
        <f>Tabuľka1383132[[#This Row],[Suma bez DPH]]*1.2</f>
        <v>31.2</v>
      </c>
      <c r="F498" s="1" t="s">
        <v>468</v>
      </c>
      <c r="G498" s="1" t="s">
        <v>1098</v>
      </c>
      <c r="H498" s="7" t="s">
        <v>1108</v>
      </c>
      <c r="I498" s="1" t="s">
        <v>1774</v>
      </c>
    </row>
    <row r="499" spans="1:9" x14ac:dyDescent="0.25">
      <c r="A499" s="1" t="s">
        <v>1750</v>
      </c>
      <c r="B499" s="1" t="s">
        <v>1789</v>
      </c>
      <c r="C499" s="2">
        <v>44431</v>
      </c>
      <c r="D499" s="21">
        <v>72</v>
      </c>
      <c r="E499" s="21">
        <v>72</v>
      </c>
      <c r="F499" s="1" t="s">
        <v>1790</v>
      </c>
      <c r="G499" s="1" t="s">
        <v>1791</v>
      </c>
      <c r="H499" s="4" t="s">
        <v>1100</v>
      </c>
      <c r="I499" s="1" t="s">
        <v>1954</v>
      </c>
    </row>
    <row r="500" spans="1:9" x14ac:dyDescent="0.25">
      <c r="A500" s="1" t="s">
        <v>1776</v>
      </c>
      <c r="B500" s="1" t="s">
        <v>1849</v>
      </c>
      <c r="C500" s="2">
        <v>44435</v>
      </c>
      <c r="D500" s="21">
        <v>250</v>
      </c>
      <c r="E500" s="21">
        <v>250</v>
      </c>
      <c r="F500" s="1" t="s">
        <v>498</v>
      </c>
      <c r="G500" s="1" t="s">
        <v>1180</v>
      </c>
      <c r="H500" s="22" t="s">
        <v>1851</v>
      </c>
      <c r="I500" s="1" t="s">
        <v>1850</v>
      </c>
    </row>
    <row r="501" spans="1:9" x14ac:dyDescent="0.25">
      <c r="A501" s="1" t="s">
        <v>1777</v>
      </c>
      <c r="B501" s="1" t="s">
        <v>1821</v>
      </c>
      <c r="C501" s="2">
        <v>44438</v>
      </c>
      <c r="D501" s="21">
        <v>49.5</v>
      </c>
      <c r="E501" s="21">
        <v>49.5</v>
      </c>
      <c r="F501" s="1" t="s">
        <v>469</v>
      </c>
      <c r="G501" s="4" t="s">
        <v>1100</v>
      </c>
      <c r="H501" s="4" t="s">
        <v>1100</v>
      </c>
      <c r="I501" s="1" t="s">
        <v>1940</v>
      </c>
    </row>
    <row r="502" spans="1:9" x14ac:dyDescent="0.25">
      <c r="A502" s="1" t="s">
        <v>1778</v>
      </c>
      <c r="B502" s="1" t="s">
        <v>1820</v>
      </c>
      <c r="C502" s="2">
        <v>44438</v>
      </c>
      <c r="D502" s="21">
        <v>38.5</v>
      </c>
      <c r="E502" s="21">
        <v>38.5</v>
      </c>
      <c r="F502" s="1" t="s">
        <v>469</v>
      </c>
      <c r="G502" s="4" t="s">
        <v>1100</v>
      </c>
      <c r="H502" s="4" t="s">
        <v>1100</v>
      </c>
      <c r="I502" s="1" t="s">
        <v>1940</v>
      </c>
    </row>
    <row r="503" spans="1:9" x14ac:dyDescent="0.25">
      <c r="A503" s="1" t="s">
        <v>1779</v>
      </c>
      <c r="B503" s="1" t="s">
        <v>1819</v>
      </c>
      <c r="C503" s="2">
        <v>44438</v>
      </c>
      <c r="D503" s="21">
        <v>16.5</v>
      </c>
      <c r="E503" s="21">
        <v>16.5</v>
      </c>
      <c r="F503" s="1" t="s">
        <v>469</v>
      </c>
      <c r="G503" s="4" t="s">
        <v>1100</v>
      </c>
      <c r="H503" s="4" t="s">
        <v>1100</v>
      </c>
      <c r="I503" s="1" t="s">
        <v>1940</v>
      </c>
    </row>
    <row r="504" spans="1:9" x14ac:dyDescent="0.25">
      <c r="A504" s="1" t="s">
        <v>1780</v>
      </c>
      <c r="B504" s="1" t="s">
        <v>1818</v>
      </c>
      <c r="C504" s="2">
        <v>44438</v>
      </c>
      <c r="D504" s="21">
        <v>49.5</v>
      </c>
      <c r="E504" s="21">
        <v>49.5</v>
      </c>
      <c r="F504" s="1" t="s">
        <v>469</v>
      </c>
      <c r="G504" s="4" t="s">
        <v>1100</v>
      </c>
      <c r="H504" s="4" t="s">
        <v>1100</v>
      </c>
      <c r="I504" s="1" t="s">
        <v>1940</v>
      </c>
    </row>
    <row r="505" spans="1:9" x14ac:dyDescent="0.25">
      <c r="A505" s="1" t="s">
        <v>1781</v>
      </c>
      <c r="B505" s="1" t="s">
        <v>1852</v>
      </c>
      <c r="C505" s="2">
        <v>44441</v>
      </c>
      <c r="D505" s="21">
        <v>19001</v>
      </c>
      <c r="E505" s="21">
        <v>22801.200000000001</v>
      </c>
      <c r="F505" s="1" t="s">
        <v>468</v>
      </c>
      <c r="G505" s="1" t="s">
        <v>1098</v>
      </c>
      <c r="H505" s="1" t="s">
        <v>1189</v>
      </c>
      <c r="I505" s="1" t="s">
        <v>1853</v>
      </c>
    </row>
    <row r="506" spans="1:9" x14ac:dyDescent="0.25">
      <c r="A506" s="1" t="s">
        <v>1782</v>
      </c>
      <c r="B506" s="1" t="s">
        <v>1854</v>
      </c>
      <c r="C506" s="2">
        <v>44441</v>
      </c>
      <c r="D506" s="21">
        <v>13390.83</v>
      </c>
      <c r="E506" s="21">
        <v>16069</v>
      </c>
      <c r="F506" s="1" t="s">
        <v>468</v>
      </c>
      <c r="G506" s="1" t="s">
        <v>1098</v>
      </c>
      <c r="H506" s="1" t="s">
        <v>1189</v>
      </c>
      <c r="I506" s="1" t="s">
        <v>1857</v>
      </c>
    </row>
    <row r="507" spans="1:9" x14ac:dyDescent="0.25">
      <c r="A507" s="1" t="s">
        <v>1783</v>
      </c>
      <c r="B507" s="1" t="s">
        <v>1855</v>
      </c>
      <c r="C507" s="2">
        <v>44441</v>
      </c>
      <c r="D507" s="21">
        <v>2909.63</v>
      </c>
      <c r="E507" s="21">
        <v>3491.56</v>
      </c>
      <c r="F507" s="1" t="s">
        <v>468</v>
      </c>
      <c r="G507" s="1" t="s">
        <v>1098</v>
      </c>
      <c r="H507" s="1" t="s">
        <v>1189</v>
      </c>
      <c r="I507" s="1" t="s">
        <v>1856</v>
      </c>
    </row>
    <row r="508" spans="1:9" x14ac:dyDescent="0.25">
      <c r="A508" s="1" t="s">
        <v>1784</v>
      </c>
      <c r="B508" s="1" t="s">
        <v>1770</v>
      </c>
      <c r="C508" s="2">
        <v>44441</v>
      </c>
      <c r="D508" s="21">
        <v>19065.830000000002</v>
      </c>
      <c r="E508" s="21">
        <v>22879</v>
      </c>
      <c r="F508" s="1" t="s">
        <v>468</v>
      </c>
      <c r="G508" s="1" t="s">
        <v>1098</v>
      </c>
      <c r="H508" s="1" t="s">
        <v>1189</v>
      </c>
      <c r="I508" s="1" t="s">
        <v>1858</v>
      </c>
    </row>
    <row r="509" spans="1:9" x14ac:dyDescent="0.25">
      <c r="A509" s="1" t="s">
        <v>1785</v>
      </c>
      <c r="B509" s="1" t="s">
        <v>1859</v>
      </c>
      <c r="C509" s="2">
        <v>44441</v>
      </c>
      <c r="D509" s="21">
        <v>24</v>
      </c>
      <c r="E509" s="21">
        <v>28.8</v>
      </c>
      <c r="F509" s="1" t="s">
        <v>468</v>
      </c>
      <c r="G509" s="1" t="s">
        <v>1098</v>
      </c>
      <c r="H509" s="1" t="s">
        <v>1189</v>
      </c>
      <c r="I509" s="1" t="s">
        <v>1860</v>
      </c>
    </row>
    <row r="510" spans="1:9" x14ac:dyDescent="0.25">
      <c r="A510" s="1" t="s">
        <v>1786</v>
      </c>
      <c r="B510" s="1" t="s">
        <v>1861</v>
      </c>
      <c r="C510" s="2">
        <v>44441</v>
      </c>
      <c r="D510" s="21">
        <v>112</v>
      </c>
      <c r="E510" s="21">
        <v>134.4</v>
      </c>
      <c r="F510" s="1" t="s">
        <v>468</v>
      </c>
      <c r="G510" s="1" t="s">
        <v>1098</v>
      </c>
      <c r="H510" s="1" t="s">
        <v>1189</v>
      </c>
      <c r="I510" s="1" t="s">
        <v>1862</v>
      </c>
    </row>
    <row r="511" spans="1:9" x14ac:dyDescent="0.25">
      <c r="A511" s="1" t="s">
        <v>1787</v>
      </c>
      <c r="B511" s="1" t="s">
        <v>1863</v>
      </c>
      <c r="C511" s="2">
        <v>44441</v>
      </c>
      <c r="D511" s="21">
        <v>160</v>
      </c>
      <c r="E511" s="21">
        <v>192</v>
      </c>
      <c r="F511" s="1" t="s">
        <v>468</v>
      </c>
      <c r="G511" s="1" t="s">
        <v>1098</v>
      </c>
      <c r="H511" s="1" t="s">
        <v>1189</v>
      </c>
      <c r="I511" s="1" t="s">
        <v>1864</v>
      </c>
    </row>
    <row r="512" spans="1:9" x14ac:dyDescent="0.25">
      <c r="A512" s="1" t="s">
        <v>1788</v>
      </c>
      <c r="B512" s="1" t="s">
        <v>1865</v>
      </c>
      <c r="C512" s="2">
        <v>44441</v>
      </c>
      <c r="D512" s="21">
        <v>700</v>
      </c>
      <c r="E512" s="21">
        <v>840</v>
      </c>
      <c r="F512" s="1" t="s">
        <v>468</v>
      </c>
      <c r="G512" s="1" t="s">
        <v>1098</v>
      </c>
      <c r="H512" s="1" t="s">
        <v>1189</v>
      </c>
      <c r="I512" s="1" t="s">
        <v>1866</v>
      </c>
    </row>
    <row r="513" spans="1:9" x14ac:dyDescent="0.25">
      <c r="A513" s="1" t="s">
        <v>1833</v>
      </c>
      <c r="B513" s="1" t="s">
        <v>1867</v>
      </c>
      <c r="C513" s="2">
        <v>44439</v>
      </c>
      <c r="D513" s="21">
        <v>264</v>
      </c>
      <c r="E513" s="21">
        <v>316.8</v>
      </c>
      <c r="F513" s="1" t="s">
        <v>488</v>
      </c>
      <c r="G513" s="1" t="s">
        <v>1137</v>
      </c>
      <c r="H513" s="1" t="s">
        <v>1138</v>
      </c>
      <c r="I513" s="1" t="s">
        <v>1868</v>
      </c>
    </row>
    <row r="514" spans="1:9" x14ac:dyDescent="0.25">
      <c r="A514" s="1" t="s">
        <v>1834</v>
      </c>
      <c r="B514" s="1" t="s">
        <v>1890</v>
      </c>
      <c r="C514" s="2">
        <v>44441</v>
      </c>
      <c r="D514" s="21">
        <v>55.8</v>
      </c>
      <c r="E514" s="21">
        <v>66.959999999999994</v>
      </c>
      <c r="F514" s="1" t="s">
        <v>470</v>
      </c>
      <c r="G514" s="1" t="s">
        <v>1101</v>
      </c>
      <c r="H514" s="1" t="s">
        <v>1102</v>
      </c>
      <c r="I514" s="1" t="s">
        <v>982</v>
      </c>
    </row>
    <row r="515" spans="1:9" x14ac:dyDescent="0.25">
      <c r="A515" s="1" t="s">
        <v>1835</v>
      </c>
      <c r="B515" s="1" t="s">
        <v>1891</v>
      </c>
      <c r="C515" s="2">
        <v>44441</v>
      </c>
      <c r="D515" s="21">
        <v>604</v>
      </c>
      <c r="E515" s="21">
        <v>724.8</v>
      </c>
      <c r="F515" s="1" t="s">
        <v>470</v>
      </c>
      <c r="G515" s="1" t="s">
        <v>1101</v>
      </c>
      <c r="H515" s="1" t="s">
        <v>1102</v>
      </c>
      <c r="I515" s="1" t="s">
        <v>982</v>
      </c>
    </row>
    <row r="516" spans="1:9" x14ac:dyDescent="0.25">
      <c r="A516" s="1" t="s">
        <v>1836</v>
      </c>
      <c r="B516" s="1" t="s">
        <v>1892</v>
      </c>
      <c r="C516" s="2">
        <v>44441</v>
      </c>
      <c r="D516" s="21">
        <v>54</v>
      </c>
      <c r="E516" s="21">
        <v>64.8</v>
      </c>
      <c r="F516" s="1" t="s">
        <v>470</v>
      </c>
      <c r="G516" s="1" t="s">
        <v>1101</v>
      </c>
      <c r="H516" s="1" t="s">
        <v>1102</v>
      </c>
      <c r="I516" s="1" t="s">
        <v>982</v>
      </c>
    </row>
    <row r="517" spans="1:9" x14ac:dyDescent="0.25">
      <c r="A517" s="1" t="s">
        <v>1837</v>
      </c>
      <c r="B517" s="1" t="s">
        <v>1893</v>
      </c>
      <c r="C517" s="2">
        <v>44441</v>
      </c>
      <c r="D517" s="21">
        <v>54</v>
      </c>
      <c r="E517" s="21">
        <v>64.8</v>
      </c>
      <c r="F517" s="1" t="s">
        <v>470</v>
      </c>
      <c r="G517" s="1" t="s">
        <v>1101</v>
      </c>
      <c r="H517" s="1" t="s">
        <v>1102</v>
      </c>
      <c r="I517" s="1" t="s">
        <v>982</v>
      </c>
    </row>
    <row r="518" spans="1:9" x14ac:dyDescent="0.25">
      <c r="A518" s="1" t="s">
        <v>1838</v>
      </c>
      <c r="B518" s="1" t="s">
        <v>1894</v>
      </c>
      <c r="C518" s="2">
        <v>44441</v>
      </c>
      <c r="D518" s="21">
        <v>54</v>
      </c>
      <c r="E518" s="21">
        <v>64.8</v>
      </c>
      <c r="F518" s="1" t="s">
        <v>470</v>
      </c>
      <c r="G518" s="1" t="s">
        <v>1101</v>
      </c>
      <c r="H518" s="1" t="s">
        <v>1102</v>
      </c>
      <c r="I518" s="1" t="s">
        <v>982</v>
      </c>
    </row>
    <row r="519" spans="1:9" x14ac:dyDescent="0.25">
      <c r="A519" s="1" t="s">
        <v>1839</v>
      </c>
      <c r="B519" s="1" t="s">
        <v>1895</v>
      </c>
      <c r="C519" s="2">
        <v>44441</v>
      </c>
      <c r="D519" s="21">
        <v>54</v>
      </c>
      <c r="E519" s="21">
        <v>64.8</v>
      </c>
      <c r="F519" s="1" t="s">
        <v>470</v>
      </c>
      <c r="G519" s="1" t="s">
        <v>1101</v>
      </c>
      <c r="H519" s="1" t="s">
        <v>1102</v>
      </c>
      <c r="I519" s="1" t="s">
        <v>982</v>
      </c>
    </row>
    <row r="520" spans="1:9" x14ac:dyDescent="0.25">
      <c r="A520" s="1" t="s">
        <v>1840</v>
      </c>
      <c r="B520" s="1" t="s">
        <v>1897</v>
      </c>
      <c r="C520" s="2">
        <v>44439</v>
      </c>
      <c r="D520" s="21">
        <v>54</v>
      </c>
      <c r="E520" s="21">
        <v>64.8</v>
      </c>
      <c r="F520" s="1" t="s">
        <v>470</v>
      </c>
      <c r="G520" s="1" t="s">
        <v>1101</v>
      </c>
      <c r="H520" s="1" t="s">
        <v>1102</v>
      </c>
      <c r="I520" s="1" t="s">
        <v>982</v>
      </c>
    </row>
    <row r="521" spans="1:9" x14ac:dyDescent="0.25">
      <c r="A521" s="1" t="s">
        <v>1841</v>
      </c>
      <c r="B521" s="1" t="s">
        <v>1896</v>
      </c>
      <c r="C521" s="2">
        <v>44439</v>
      </c>
      <c r="D521" s="21">
        <v>54</v>
      </c>
      <c r="E521" s="21">
        <v>64.8</v>
      </c>
      <c r="F521" s="1" t="s">
        <v>470</v>
      </c>
      <c r="G521" s="1" t="s">
        <v>1101</v>
      </c>
      <c r="H521" s="1" t="s">
        <v>1102</v>
      </c>
      <c r="I521" s="1" t="s">
        <v>982</v>
      </c>
    </row>
    <row r="522" spans="1:9" x14ac:dyDescent="0.25">
      <c r="A522" s="1" t="s">
        <v>1842</v>
      </c>
      <c r="B522" s="1" t="s">
        <v>1898</v>
      </c>
      <c r="C522" s="2">
        <v>44439</v>
      </c>
      <c r="D522" s="21">
        <v>54</v>
      </c>
      <c r="E522" s="21">
        <v>64.8</v>
      </c>
      <c r="F522" s="1" t="s">
        <v>470</v>
      </c>
      <c r="G522" s="1" t="s">
        <v>1101</v>
      </c>
      <c r="H522" s="1" t="s">
        <v>1102</v>
      </c>
      <c r="I522" s="1" t="s">
        <v>982</v>
      </c>
    </row>
    <row r="523" spans="1:9" x14ac:dyDescent="0.25">
      <c r="A523" s="1" t="s">
        <v>1843</v>
      </c>
      <c r="B523" s="1" t="s">
        <v>1899</v>
      </c>
      <c r="C523" s="2">
        <v>44439</v>
      </c>
      <c r="D523" s="21">
        <v>54</v>
      </c>
      <c r="E523" s="21">
        <v>64.8</v>
      </c>
      <c r="F523" s="1" t="s">
        <v>470</v>
      </c>
      <c r="G523" s="1" t="s">
        <v>1101</v>
      </c>
      <c r="H523" s="1" t="s">
        <v>1102</v>
      </c>
      <c r="I523" s="1" t="s">
        <v>982</v>
      </c>
    </row>
    <row r="524" spans="1:9" x14ac:dyDescent="0.25">
      <c r="A524" s="1" t="s">
        <v>1844</v>
      </c>
      <c r="B524" s="1" t="s">
        <v>1900</v>
      </c>
      <c r="C524" s="2">
        <v>44439</v>
      </c>
      <c r="D524" s="21">
        <v>54</v>
      </c>
      <c r="E524" s="21">
        <v>64.8</v>
      </c>
      <c r="F524" s="1" t="s">
        <v>470</v>
      </c>
      <c r="G524" s="1" t="s">
        <v>1101</v>
      </c>
      <c r="H524" s="1" t="s">
        <v>1102</v>
      </c>
      <c r="I524" s="1" t="s">
        <v>982</v>
      </c>
    </row>
    <row r="525" spans="1:9" x14ac:dyDescent="0.25">
      <c r="A525" s="1" t="s">
        <v>1845</v>
      </c>
      <c r="B525" s="1" t="s">
        <v>1901</v>
      </c>
      <c r="C525" s="2">
        <v>44439</v>
      </c>
      <c r="D525" s="21">
        <v>57.5</v>
      </c>
      <c r="E525" s="21">
        <v>69</v>
      </c>
      <c r="F525" s="1" t="s">
        <v>470</v>
      </c>
      <c r="G525" s="1" t="s">
        <v>1101</v>
      </c>
      <c r="H525" s="1" t="s">
        <v>1102</v>
      </c>
      <c r="I525" s="1" t="s">
        <v>982</v>
      </c>
    </row>
    <row r="526" spans="1:9" x14ac:dyDescent="0.25">
      <c r="A526" s="1" t="s">
        <v>1846</v>
      </c>
      <c r="B526" s="1" t="s">
        <v>1902</v>
      </c>
      <c r="C526" s="2">
        <v>44439</v>
      </c>
      <c r="D526" s="21">
        <v>54</v>
      </c>
      <c r="E526" s="21">
        <v>64.8</v>
      </c>
      <c r="F526" s="1" t="s">
        <v>470</v>
      </c>
      <c r="G526" s="1" t="s">
        <v>1101</v>
      </c>
      <c r="H526" s="1" t="s">
        <v>1102</v>
      </c>
      <c r="I526" s="1" t="s">
        <v>982</v>
      </c>
    </row>
    <row r="527" spans="1:9" x14ac:dyDescent="0.25">
      <c r="A527" s="1" t="s">
        <v>1847</v>
      </c>
      <c r="B527" s="1" t="s">
        <v>1903</v>
      </c>
      <c r="C527" s="2">
        <v>44439</v>
      </c>
      <c r="D527" s="21">
        <v>54</v>
      </c>
      <c r="E527" s="21">
        <v>64.8</v>
      </c>
      <c r="F527" s="1" t="s">
        <v>470</v>
      </c>
      <c r="G527" s="1" t="s">
        <v>1101</v>
      </c>
      <c r="H527" s="1" t="s">
        <v>1102</v>
      </c>
      <c r="I527" s="1" t="s">
        <v>982</v>
      </c>
    </row>
    <row r="528" spans="1:9" x14ac:dyDescent="0.25">
      <c r="A528" s="1" t="s">
        <v>1848</v>
      </c>
      <c r="B528" s="1" t="s">
        <v>1904</v>
      </c>
      <c r="C528" s="2">
        <v>44439</v>
      </c>
      <c r="D528" s="21">
        <v>1973.69</v>
      </c>
      <c r="E528" s="21">
        <v>2368.4299999999998</v>
      </c>
      <c r="F528" s="1" t="s">
        <v>470</v>
      </c>
      <c r="G528" s="1" t="s">
        <v>1101</v>
      </c>
      <c r="H528" s="1" t="s">
        <v>1102</v>
      </c>
      <c r="I528" s="1" t="s">
        <v>1905</v>
      </c>
    </row>
    <row r="529" spans="1:9" x14ac:dyDescent="0.25">
      <c r="A529" s="1" t="s">
        <v>1869</v>
      </c>
      <c r="B529" s="1" t="s">
        <v>1888</v>
      </c>
      <c r="C529" s="2">
        <v>44442</v>
      </c>
      <c r="D529" s="21">
        <v>780</v>
      </c>
      <c r="E529" s="21">
        <v>780</v>
      </c>
      <c r="F529" s="1" t="s">
        <v>473</v>
      </c>
      <c r="G529" s="1" t="s">
        <v>1109</v>
      </c>
      <c r="H529" s="1" t="s">
        <v>1110</v>
      </c>
      <c r="I529" s="1" t="s">
        <v>1889</v>
      </c>
    </row>
    <row r="530" spans="1:9" x14ac:dyDescent="0.25">
      <c r="A530" s="1" t="s">
        <v>1870</v>
      </c>
      <c r="B530" s="1" t="s">
        <v>1906</v>
      </c>
      <c r="C530" s="2">
        <v>44445</v>
      </c>
      <c r="D530" s="21">
        <v>165.96</v>
      </c>
      <c r="E530" s="21">
        <v>199.15</v>
      </c>
      <c r="F530" s="1" t="s">
        <v>466</v>
      </c>
      <c r="G530" s="1" t="s">
        <v>1105</v>
      </c>
      <c r="H530" s="1" t="s">
        <v>1106</v>
      </c>
      <c r="I530" s="1"/>
    </row>
    <row r="531" spans="1:9" x14ac:dyDescent="0.25">
      <c r="A531" s="1" t="s">
        <v>1871</v>
      </c>
      <c r="B531" s="1" t="s">
        <v>1907</v>
      </c>
      <c r="C531" s="2">
        <v>44448</v>
      </c>
      <c r="D531" s="21">
        <v>229.72</v>
      </c>
      <c r="E531" s="21">
        <v>275.66000000000003</v>
      </c>
      <c r="F531" s="1" t="s">
        <v>504</v>
      </c>
      <c r="G531" s="1" t="s">
        <v>1107</v>
      </c>
      <c r="H531" s="1" t="s">
        <v>1108</v>
      </c>
      <c r="I531" s="1" t="s">
        <v>1908</v>
      </c>
    </row>
    <row r="532" spans="1:9" x14ac:dyDescent="0.25">
      <c r="A532" s="1" t="s">
        <v>1872</v>
      </c>
      <c r="B532" s="1" t="s">
        <v>1909</v>
      </c>
      <c r="C532" s="2">
        <v>44449</v>
      </c>
      <c r="D532" s="21">
        <v>12311.67</v>
      </c>
      <c r="E532" s="21">
        <v>14774</v>
      </c>
      <c r="F532" s="1" t="s">
        <v>468</v>
      </c>
      <c r="G532" s="1" t="s">
        <v>1098</v>
      </c>
      <c r="H532" s="7" t="s">
        <v>1108</v>
      </c>
      <c r="I532" s="1" t="s">
        <v>1910</v>
      </c>
    </row>
    <row r="533" spans="1:9" x14ac:dyDescent="0.25">
      <c r="A533" s="1" t="s">
        <v>1873</v>
      </c>
      <c r="B533" s="1" t="s">
        <v>1911</v>
      </c>
      <c r="C533" s="2">
        <v>44449</v>
      </c>
      <c r="D533" s="21">
        <v>12311.67</v>
      </c>
      <c r="E533" s="21">
        <v>14774</v>
      </c>
      <c r="F533" s="1" t="s">
        <v>468</v>
      </c>
      <c r="G533" s="1" t="s">
        <v>1098</v>
      </c>
      <c r="H533" s="7" t="s">
        <v>1108</v>
      </c>
      <c r="I533" s="1" t="s">
        <v>1912</v>
      </c>
    </row>
    <row r="534" spans="1:9" x14ac:dyDescent="0.25">
      <c r="A534" s="1" t="s">
        <v>1874</v>
      </c>
      <c r="B534" s="1" t="s">
        <v>1913</v>
      </c>
      <c r="C534" s="2">
        <v>44449</v>
      </c>
      <c r="D534" s="21">
        <v>1203.33</v>
      </c>
      <c r="E534" s="21">
        <v>1444</v>
      </c>
      <c r="F534" s="1" t="s">
        <v>468</v>
      </c>
      <c r="G534" s="1" t="s">
        <v>1098</v>
      </c>
      <c r="H534" s="7" t="s">
        <v>1108</v>
      </c>
      <c r="I534" s="1" t="s">
        <v>1914</v>
      </c>
    </row>
    <row r="535" spans="1:9" x14ac:dyDescent="0.25">
      <c r="A535" s="1" t="s">
        <v>1875</v>
      </c>
      <c r="B535" s="1" t="s">
        <v>1915</v>
      </c>
      <c r="C535" s="2">
        <v>44449</v>
      </c>
      <c r="D535" s="21">
        <v>757.06</v>
      </c>
      <c r="E535" s="21">
        <v>908.47</v>
      </c>
      <c r="F535" s="1" t="s">
        <v>468</v>
      </c>
      <c r="G535" s="1" t="s">
        <v>1098</v>
      </c>
      <c r="H535" s="7" t="s">
        <v>1108</v>
      </c>
      <c r="I535" s="1" t="s">
        <v>1918</v>
      </c>
    </row>
    <row r="536" spans="1:9" x14ac:dyDescent="0.25">
      <c r="A536" s="1" t="s">
        <v>1876</v>
      </c>
      <c r="B536" s="1" t="s">
        <v>1916</v>
      </c>
      <c r="C536" s="2">
        <v>44449</v>
      </c>
      <c r="D536" s="29">
        <v>-4.0199999999999996</v>
      </c>
      <c r="E536" s="29">
        <v>-4.83</v>
      </c>
      <c r="F536" s="1" t="s">
        <v>468</v>
      </c>
      <c r="G536" s="1" t="s">
        <v>1098</v>
      </c>
      <c r="H536" s="7" t="s">
        <v>1108</v>
      </c>
      <c r="I536" s="1" t="s">
        <v>1917</v>
      </c>
    </row>
    <row r="537" spans="1:9" x14ac:dyDescent="0.25">
      <c r="A537" s="1" t="s">
        <v>1877</v>
      </c>
      <c r="B537" s="1" t="s">
        <v>1919</v>
      </c>
      <c r="C537" s="2">
        <v>44449</v>
      </c>
      <c r="D537" s="21">
        <v>7.87</v>
      </c>
      <c r="E537" s="21">
        <v>9.44</v>
      </c>
      <c r="F537" s="1" t="s">
        <v>468</v>
      </c>
      <c r="G537" s="1" t="s">
        <v>1098</v>
      </c>
      <c r="H537" s="7" t="s">
        <v>1108</v>
      </c>
      <c r="I537" s="1" t="s">
        <v>1920</v>
      </c>
    </row>
    <row r="538" spans="1:9" x14ac:dyDescent="0.25">
      <c r="A538" s="1" t="s">
        <v>1878</v>
      </c>
      <c r="B538" s="1" t="s">
        <v>1921</v>
      </c>
      <c r="C538" s="2">
        <v>44452</v>
      </c>
      <c r="D538" s="21">
        <v>49.5</v>
      </c>
      <c r="E538" s="21">
        <v>49.5</v>
      </c>
      <c r="F538" s="1" t="s">
        <v>469</v>
      </c>
      <c r="G538" s="4" t="s">
        <v>1100</v>
      </c>
      <c r="H538" s="4" t="s">
        <v>1100</v>
      </c>
      <c r="I538" s="1" t="s">
        <v>1940</v>
      </c>
    </row>
    <row r="539" spans="1:9" x14ac:dyDescent="0.25">
      <c r="A539" s="1" t="s">
        <v>1879</v>
      </c>
      <c r="B539" s="1" t="s">
        <v>1922</v>
      </c>
      <c r="C539" s="2">
        <v>44452</v>
      </c>
      <c r="D539" s="21">
        <v>49.5</v>
      </c>
      <c r="E539" s="21">
        <v>49.5</v>
      </c>
      <c r="F539" s="1" t="s">
        <v>469</v>
      </c>
      <c r="G539" s="4" t="s">
        <v>1100</v>
      </c>
      <c r="H539" s="4" t="s">
        <v>1100</v>
      </c>
      <c r="I539" s="1" t="s">
        <v>1940</v>
      </c>
    </row>
    <row r="540" spans="1:9" x14ac:dyDescent="0.25">
      <c r="A540" s="1" t="s">
        <v>1880</v>
      </c>
      <c r="B540" s="1" t="s">
        <v>1923</v>
      </c>
      <c r="C540" s="2">
        <v>44452</v>
      </c>
      <c r="D540" s="21">
        <v>49.5</v>
      </c>
      <c r="E540" s="21">
        <v>49.5</v>
      </c>
      <c r="F540" s="1" t="s">
        <v>469</v>
      </c>
      <c r="G540" s="4" t="s">
        <v>1100</v>
      </c>
      <c r="H540" s="4" t="s">
        <v>1100</v>
      </c>
      <c r="I540" s="1" t="s">
        <v>1940</v>
      </c>
    </row>
    <row r="541" spans="1:9" x14ac:dyDescent="0.25">
      <c r="A541" s="1" t="s">
        <v>1955</v>
      </c>
      <c r="B541" s="1" t="s">
        <v>670</v>
      </c>
      <c r="C541" s="2">
        <v>44456</v>
      </c>
      <c r="D541" s="29">
        <v>-500</v>
      </c>
      <c r="E541" s="29">
        <v>-500</v>
      </c>
      <c r="F541" s="1" t="s">
        <v>1991</v>
      </c>
      <c r="G541" s="22" t="s">
        <v>1992</v>
      </c>
      <c r="H541" s="4" t="s">
        <v>1100</v>
      </c>
      <c r="I541" s="1" t="s">
        <v>1993</v>
      </c>
    </row>
    <row r="542" spans="1:9" x14ac:dyDescent="0.25">
      <c r="A542" s="1" t="s">
        <v>1956</v>
      </c>
      <c r="B542" s="1" t="s">
        <v>1996</v>
      </c>
      <c r="C542" s="2">
        <v>44455</v>
      </c>
      <c r="D542" s="21">
        <v>32</v>
      </c>
      <c r="E542" s="21">
        <v>38.4</v>
      </c>
      <c r="F542" s="1" t="s">
        <v>470</v>
      </c>
      <c r="G542" s="22" t="s">
        <v>1101</v>
      </c>
      <c r="H542" s="1" t="s">
        <v>1102</v>
      </c>
      <c r="I542" s="1" t="s">
        <v>1997</v>
      </c>
    </row>
    <row r="543" spans="1:9" x14ac:dyDescent="0.25">
      <c r="A543" s="1" t="s">
        <v>1957</v>
      </c>
      <c r="B543" s="1" t="s">
        <v>2012</v>
      </c>
      <c r="C543" s="2">
        <v>44454</v>
      </c>
      <c r="D543" s="21">
        <v>146.19999999999999</v>
      </c>
      <c r="E543" s="21">
        <v>175.44</v>
      </c>
      <c r="F543" s="1" t="s">
        <v>468</v>
      </c>
      <c r="G543" s="1" t="s">
        <v>1098</v>
      </c>
      <c r="H543" s="7" t="s">
        <v>1108</v>
      </c>
      <c r="I543" s="1" t="s">
        <v>2013</v>
      </c>
    </row>
    <row r="544" spans="1:9" x14ac:dyDescent="0.25">
      <c r="A544" s="1" t="s">
        <v>1958</v>
      </c>
      <c r="B544" s="1" t="s">
        <v>2014</v>
      </c>
      <c r="C544" s="2">
        <v>44456</v>
      </c>
      <c r="D544" s="21">
        <v>27.52</v>
      </c>
      <c r="E544" s="21">
        <v>27.52</v>
      </c>
      <c r="F544" s="1" t="s">
        <v>468</v>
      </c>
      <c r="G544" s="1" t="s">
        <v>1098</v>
      </c>
      <c r="H544" s="7" t="s">
        <v>1108</v>
      </c>
      <c r="I544" s="1" t="s">
        <v>2015</v>
      </c>
    </row>
    <row r="545" spans="1:9" x14ac:dyDescent="0.25">
      <c r="A545" s="1" t="s">
        <v>1959</v>
      </c>
      <c r="B545" s="1" t="s">
        <v>2016</v>
      </c>
      <c r="C545" s="2">
        <v>44456</v>
      </c>
      <c r="D545" s="21">
        <v>248.74</v>
      </c>
      <c r="E545" s="21">
        <v>298.49</v>
      </c>
      <c r="F545" s="1" t="s">
        <v>468</v>
      </c>
      <c r="G545" s="1" t="s">
        <v>1098</v>
      </c>
      <c r="H545" s="7" t="s">
        <v>1108</v>
      </c>
      <c r="I545" s="1" t="s">
        <v>2017</v>
      </c>
    </row>
    <row r="546" spans="1:9" x14ac:dyDescent="0.25">
      <c r="A546" s="1" t="s">
        <v>1960</v>
      </c>
      <c r="B546" s="1" t="s">
        <v>2018</v>
      </c>
      <c r="C546" s="2">
        <v>44456</v>
      </c>
      <c r="D546" s="21">
        <v>41.07</v>
      </c>
      <c r="E546" s="21">
        <v>49.28</v>
      </c>
      <c r="F546" s="1" t="s">
        <v>468</v>
      </c>
      <c r="G546" s="1" t="s">
        <v>1098</v>
      </c>
      <c r="H546" s="7" t="s">
        <v>1108</v>
      </c>
      <c r="I546" s="1" t="s">
        <v>2019</v>
      </c>
    </row>
    <row r="547" spans="1:9" x14ac:dyDescent="0.25">
      <c r="A547" s="1" t="s">
        <v>1961</v>
      </c>
      <c r="B547" s="1" t="s">
        <v>2020</v>
      </c>
      <c r="C547" s="2">
        <v>44456</v>
      </c>
      <c r="D547" s="21">
        <v>3760.06</v>
      </c>
      <c r="E547" s="21">
        <v>4512.07</v>
      </c>
      <c r="F547" s="1" t="s">
        <v>468</v>
      </c>
      <c r="G547" s="1" t="s">
        <v>1098</v>
      </c>
      <c r="H547" s="7" t="s">
        <v>2443</v>
      </c>
      <c r="I547" s="1" t="s">
        <v>2021</v>
      </c>
    </row>
    <row r="548" spans="1:9" x14ac:dyDescent="0.25">
      <c r="A548" s="1" t="s">
        <v>1988</v>
      </c>
      <c r="B548" s="1" t="s">
        <v>2023</v>
      </c>
      <c r="C548" s="2">
        <v>44453</v>
      </c>
      <c r="D548" s="21">
        <v>20744.689999999999</v>
      </c>
      <c r="E548" s="21">
        <v>24893.63</v>
      </c>
      <c r="F548" s="1" t="s">
        <v>475</v>
      </c>
      <c r="G548" s="22" t="s">
        <v>1115</v>
      </c>
      <c r="H548" s="1" t="s">
        <v>1116</v>
      </c>
      <c r="I548" s="1" t="s">
        <v>2024</v>
      </c>
    </row>
    <row r="549" spans="1:9" x14ac:dyDescent="0.25">
      <c r="A549" s="1" t="s">
        <v>1989</v>
      </c>
      <c r="B549" s="1" t="s">
        <v>1994</v>
      </c>
      <c r="C549" s="2">
        <v>44449</v>
      </c>
      <c r="D549" s="21">
        <v>7270</v>
      </c>
      <c r="E549" s="21">
        <v>7270</v>
      </c>
      <c r="F549" s="1" t="s">
        <v>475</v>
      </c>
      <c r="G549" s="22" t="s">
        <v>1115</v>
      </c>
      <c r="H549" s="1" t="s">
        <v>1116</v>
      </c>
      <c r="I549" s="1" t="s">
        <v>1995</v>
      </c>
    </row>
    <row r="550" spans="1:9" x14ac:dyDescent="0.25">
      <c r="A550" s="1" t="s">
        <v>1990</v>
      </c>
      <c r="B550" s="1" t="s">
        <v>2025</v>
      </c>
      <c r="C550" s="2">
        <v>44460</v>
      </c>
      <c r="D550" s="21">
        <v>6.1</v>
      </c>
      <c r="E550" s="21">
        <v>7.32</v>
      </c>
      <c r="F550" s="1" t="s">
        <v>468</v>
      </c>
      <c r="G550" s="1" t="s">
        <v>1098</v>
      </c>
      <c r="H550" s="7" t="s">
        <v>1108</v>
      </c>
      <c r="I550" s="1" t="s">
        <v>2026</v>
      </c>
    </row>
    <row r="551" spans="1:9" x14ac:dyDescent="0.25">
      <c r="A551" s="1" t="s">
        <v>2027</v>
      </c>
      <c r="B551" s="1" t="s">
        <v>2035</v>
      </c>
      <c r="C551" s="2">
        <v>44459</v>
      </c>
      <c r="D551" s="21">
        <v>50.76</v>
      </c>
      <c r="E551" s="21">
        <v>60.9</v>
      </c>
      <c r="F551" s="1" t="s">
        <v>467</v>
      </c>
      <c r="G551" s="22" t="s">
        <v>1099</v>
      </c>
      <c r="H551" s="1" t="s">
        <v>1117</v>
      </c>
      <c r="I551" s="1" t="s">
        <v>2036</v>
      </c>
    </row>
    <row r="552" spans="1:9" x14ac:dyDescent="0.25">
      <c r="A552" s="1" t="s">
        <v>2028</v>
      </c>
      <c r="B552" s="1" t="s">
        <v>2033</v>
      </c>
      <c r="C552" s="2">
        <v>44460</v>
      </c>
      <c r="D552" s="21">
        <v>2450</v>
      </c>
      <c r="E552" s="21">
        <v>2450</v>
      </c>
      <c r="F552" s="1" t="s">
        <v>482</v>
      </c>
      <c r="G552" s="7" t="s">
        <v>1128</v>
      </c>
      <c r="H552" s="7" t="s">
        <v>1108</v>
      </c>
      <c r="I552" s="1" t="s">
        <v>2034</v>
      </c>
    </row>
    <row r="553" spans="1:9" x14ac:dyDescent="0.25">
      <c r="A553" s="1" t="s">
        <v>2029</v>
      </c>
      <c r="B553" s="1" t="s">
        <v>2032</v>
      </c>
      <c r="C553" s="2">
        <v>44461</v>
      </c>
      <c r="D553" s="21">
        <v>49.5</v>
      </c>
      <c r="E553" s="21">
        <v>49.5</v>
      </c>
      <c r="F553" s="1" t="s">
        <v>469</v>
      </c>
      <c r="G553" s="4" t="s">
        <v>1100</v>
      </c>
      <c r="H553" s="4" t="s">
        <v>1100</v>
      </c>
      <c r="I553" s="1" t="s">
        <v>1940</v>
      </c>
    </row>
    <row r="554" spans="1:9" x14ac:dyDescent="0.25">
      <c r="A554" s="1" t="s">
        <v>2030</v>
      </c>
      <c r="B554" s="1" t="s">
        <v>2031</v>
      </c>
      <c r="C554" s="2">
        <v>44461</v>
      </c>
      <c r="D554" s="21">
        <v>27.5</v>
      </c>
      <c r="E554" s="21">
        <v>27.5</v>
      </c>
      <c r="F554" s="1" t="s">
        <v>469</v>
      </c>
      <c r="G554" s="4" t="s">
        <v>1100</v>
      </c>
      <c r="H554" s="4" t="s">
        <v>1100</v>
      </c>
      <c r="I554" s="1" t="s">
        <v>1940</v>
      </c>
    </row>
    <row r="555" spans="1:9" x14ac:dyDescent="0.25">
      <c r="A555" s="1" t="s">
        <v>2071</v>
      </c>
      <c r="B555" s="1" t="s">
        <v>2103</v>
      </c>
      <c r="C555" s="2">
        <v>44467</v>
      </c>
      <c r="D555" s="21">
        <v>1233.53</v>
      </c>
      <c r="E555" s="21">
        <v>1480.24</v>
      </c>
      <c r="F555" s="1" t="s">
        <v>468</v>
      </c>
      <c r="G555" s="1" t="s">
        <v>1098</v>
      </c>
      <c r="H555" s="27" t="s">
        <v>1108</v>
      </c>
      <c r="I555" s="1" t="s">
        <v>1772</v>
      </c>
    </row>
    <row r="556" spans="1:9" x14ac:dyDescent="0.25">
      <c r="A556" s="1" t="s">
        <v>2072</v>
      </c>
      <c r="B556" s="1" t="s">
        <v>2104</v>
      </c>
      <c r="C556" s="2">
        <v>44467</v>
      </c>
      <c r="D556" s="21">
        <v>37</v>
      </c>
      <c r="E556" s="21">
        <v>37</v>
      </c>
      <c r="F556" s="1" t="s">
        <v>469</v>
      </c>
      <c r="G556" s="4" t="s">
        <v>1100</v>
      </c>
      <c r="H556" s="4" t="s">
        <v>1100</v>
      </c>
      <c r="I556" s="1" t="s">
        <v>1940</v>
      </c>
    </row>
    <row r="557" spans="1:9" x14ac:dyDescent="0.25">
      <c r="A557" s="1" t="s">
        <v>2073</v>
      </c>
      <c r="B557" s="1" t="s">
        <v>2105</v>
      </c>
      <c r="C557" s="2">
        <v>44466</v>
      </c>
      <c r="D557" s="21">
        <v>37.46</v>
      </c>
      <c r="E557" s="21">
        <v>44.95</v>
      </c>
      <c r="F557" s="1" t="s">
        <v>472</v>
      </c>
      <c r="G557" s="1" t="s">
        <v>1151</v>
      </c>
      <c r="H557" s="22" t="s">
        <v>2106</v>
      </c>
      <c r="I557" s="1" t="s">
        <v>2107</v>
      </c>
    </row>
    <row r="558" spans="1:9" x14ac:dyDescent="0.25">
      <c r="A558" s="1" t="s">
        <v>2074</v>
      </c>
      <c r="B558" s="1" t="s">
        <v>2108</v>
      </c>
      <c r="C558" s="2">
        <v>44468</v>
      </c>
      <c r="D558" s="21">
        <v>1973.69</v>
      </c>
      <c r="E558" s="21">
        <v>2368.4299999999998</v>
      </c>
      <c r="F558" s="1" t="s">
        <v>470</v>
      </c>
      <c r="G558" s="1" t="s">
        <v>1101</v>
      </c>
      <c r="H558" s="22" t="s">
        <v>1102</v>
      </c>
      <c r="I558" s="1" t="s">
        <v>2109</v>
      </c>
    </row>
    <row r="559" spans="1:9" x14ac:dyDescent="0.25">
      <c r="A559" s="1" t="s">
        <v>2075</v>
      </c>
      <c r="B559" s="1" t="s">
        <v>2110</v>
      </c>
      <c r="C559" s="2">
        <v>44469</v>
      </c>
      <c r="D559" s="21">
        <v>18997</v>
      </c>
      <c r="E559" s="21">
        <v>22796.400000000001</v>
      </c>
      <c r="F559" s="1" t="s">
        <v>468</v>
      </c>
      <c r="G559" s="1" t="s">
        <v>1098</v>
      </c>
      <c r="H559" s="22" t="s">
        <v>1189</v>
      </c>
      <c r="I559" s="1" t="s">
        <v>2111</v>
      </c>
    </row>
    <row r="560" spans="1:9" x14ac:dyDescent="0.25">
      <c r="A560" s="1" t="s">
        <v>2076</v>
      </c>
      <c r="B560" s="1" t="s">
        <v>2112</v>
      </c>
      <c r="C560" s="2">
        <v>44469</v>
      </c>
      <c r="D560" s="21">
        <v>700</v>
      </c>
      <c r="E560" s="21">
        <v>840</v>
      </c>
      <c r="F560" s="1" t="s">
        <v>468</v>
      </c>
      <c r="G560" s="1" t="s">
        <v>1098</v>
      </c>
      <c r="H560" s="22" t="s">
        <v>1189</v>
      </c>
      <c r="I560" s="1" t="s">
        <v>2113</v>
      </c>
    </row>
    <row r="561" spans="1:9" x14ac:dyDescent="0.25">
      <c r="A561" s="1" t="s">
        <v>2077</v>
      </c>
      <c r="B561" s="1" t="s">
        <v>2114</v>
      </c>
      <c r="C561" s="2">
        <v>44469</v>
      </c>
      <c r="D561" s="21">
        <v>160</v>
      </c>
      <c r="E561" s="21">
        <v>192</v>
      </c>
      <c r="F561" s="1" t="s">
        <v>468</v>
      </c>
      <c r="G561" s="1" t="s">
        <v>1098</v>
      </c>
      <c r="H561" s="22" t="s">
        <v>1189</v>
      </c>
      <c r="I561" s="1" t="s">
        <v>2115</v>
      </c>
    </row>
    <row r="562" spans="1:9" x14ac:dyDescent="0.25">
      <c r="A562" s="1" t="s">
        <v>2078</v>
      </c>
      <c r="B562" s="1" t="s">
        <v>2116</v>
      </c>
      <c r="C562" s="2">
        <v>44469</v>
      </c>
      <c r="D562" s="21">
        <v>112</v>
      </c>
      <c r="E562" s="21">
        <v>134.4</v>
      </c>
      <c r="F562" s="1" t="s">
        <v>468</v>
      </c>
      <c r="G562" s="1" t="s">
        <v>1098</v>
      </c>
      <c r="H562" s="22" t="s">
        <v>1189</v>
      </c>
      <c r="I562" s="1" t="s">
        <v>2117</v>
      </c>
    </row>
    <row r="563" spans="1:9" x14ac:dyDescent="0.25">
      <c r="A563" s="1" t="s">
        <v>2079</v>
      </c>
      <c r="B563" s="1" t="s">
        <v>2118</v>
      </c>
      <c r="C563" s="2">
        <v>44469</v>
      </c>
      <c r="D563" s="21">
        <v>24</v>
      </c>
      <c r="E563" s="21">
        <v>28.8</v>
      </c>
      <c r="F563" s="1" t="s">
        <v>468</v>
      </c>
      <c r="G563" s="1" t="s">
        <v>1098</v>
      </c>
      <c r="H563" s="22" t="s">
        <v>1189</v>
      </c>
      <c r="I563" s="1" t="s">
        <v>2119</v>
      </c>
    </row>
    <row r="564" spans="1:9" x14ac:dyDescent="0.25">
      <c r="A564" s="1" t="s">
        <v>2080</v>
      </c>
      <c r="B564" s="1" t="s">
        <v>2120</v>
      </c>
      <c r="C564" s="2">
        <v>44469</v>
      </c>
      <c r="D564" s="21">
        <v>19065.830000000002</v>
      </c>
      <c r="E564" s="21">
        <v>22879</v>
      </c>
      <c r="F564" s="1" t="s">
        <v>468</v>
      </c>
      <c r="G564" s="1" t="s">
        <v>1098</v>
      </c>
      <c r="H564" s="22" t="s">
        <v>1189</v>
      </c>
      <c r="I564" s="1" t="s">
        <v>2121</v>
      </c>
    </row>
    <row r="565" spans="1:9" x14ac:dyDescent="0.25">
      <c r="A565" s="1" t="s">
        <v>2081</v>
      </c>
      <c r="B565" s="1" t="s">
        <v>2122</v>
      </c>
      <c r="C565" s="2">
        <v>44469</v>
      </c>
      <c r="D565" s="21">
        <v>13390.83</v>
      </c>
      <c r="E565" s="21">
        <v>16069</v>
      </c>
      <c r="F565" s="1" t="s">
        <v>468</v>
      </c>
      <c r="G565" s="1" t="s">
        <v>1098</v>
      </c>
      <c r="H565" s="22" t="s">
        <v>1189</v>
      </c>
      <c r="I565" s="1" t="s">
        <v>2123</v>
      </c>
    </row>
    <row r="566" spans="1:9" x14ac:dyDescent="0.25">
      <c r="A566" s="1" t="s">
        <v>2082</v>
      </c>
      <c r="B566" s="1" t="s">
        <v>2124</v>
      </c>
      <c r="C566" s="2">
        <v>44469</v>
      </c>
      <c r="D566" s="21">
        <v>2909.63</v>
      </c>
      <c r="E566" s="21">
        <v>3491.56</v>
      </c>
      <c r="F566" s="1" t="s">
        <v>468</v>
      </c>
      <c r="G566" s="1" t="s">
        <v>1098</v>
      </c>
      <c r="H566" s="22" t="s">
        <v>1189</v>
      </c>
      <c r="I566" s="1" t="s">
        <v>2125</v>
      </c>
    </row>
    <row r="567" spans="1:9" x14ac:dyDescent="0.25">
      <c r="A567" s="1" t="s">
        <v>2083</v>
      </c>
      <c r="B567" s="1" t="s">
        <v>2126</v>
      </c>
      <c r="C567" s="2">
        <v>44469</v>
      </c>
      <c r="D567" s="21">
        <v>23.33</v>
      </c>
      <c r="E567" s="21">
        <v>28</v>
      </c>
      <c r="F567" s="1" t="s">
        <v>468</v>
      </c>
      <c r="G567" s="1" t="s">
        <v>1098</v>
      </c>
      <c r="H567" s="27" t="s">
        <v>1108</v>
      </c>
      <c r="I567" s="1" t="s">
        <v>2127</v>
      </c>
    </row>
    <row r="568" spans="1:9" x14ac:dyDescent="0.25">
      <c r="A568" s="1" t="s">
        <v>2084</v>
      </c>
      <c r="B568" s="1" t="s">
        <v>2128</v>
      </c>
      <c r="C568" s="2">
        <v>44469</v>
      </c>
      <c r="D568" s="21">
        <v>39.96</v>
      </c>
      <c r="E568" s="21">
        <v>47.95</v>
      </c>
      <c r="F568" s="1" t="s">
        <v>468</v>
      </c>
      <c r="G568" s="1" t="s">
        <v>1098</v>
      </c>
      <c r="H568" s="27" t="s">
        <v>1108</v>
      </c>
      <c r="I568" s="1" t="s">
        <v>2129</v>
      </c>
    </row>
    <row r="569" spans="1:9" x14ac:dyDescent="0.25">
      <c r="A569" s="1" t="s">
        <v>2085</v>
      </c>
      <c r="B569" s="1" t="s">
        <v>2130</v>
      </c>
      <c r="C569" s="2">
        <v>44469</v>
      </c>
      <c r="D569" s="21">
        <v>3333.37</v>
      </c>
      <c r="E569" s="21">
        <v>4000</v>
      </c>
      <c r="F569" s="1" t="s">
        <v>468</v>
      </c>
      <c r="G569" s="1" t="s">
        <v>1098</v>
      </c>
      <c r="H569" s="27" t="s">
        <v>1108</v>
      </c>
      <c r="I569" s="1" t="s">
        <v>2131</v>
      </c>
    </row>
    <row r="570" spans="1:9" x14ac:dyDescent="0.25">
      <c r="A570" s="1" t="s">
        <v>2086</v>
      </c>
      <c r="B570" s="1" t="s">
        <v>2132</v>
      </c>
      <c r="C570" s="2">
        <v>44469</v>
      </c>
      <c r="D570" s="21">
        <v>151</v>
      </c>
      <c r="E570" s="21">
        <v>181.2</v>
      </c>
      <c r="F570" s="1" t="s">
        <v>470</v>
      </c>
      <c r="G570" s="22" t="s">
        <v>1101</v>
      </c>
      <c r="H570" s="22" t="s">
        <v>1102</v>
      </c>
      <c r="I570" s="1" t="s">
        <v>982</v>
      </c>
    </row>
    <row r="571" spans="1:9" x14ac:dyDescent="0.25">
      <c r="A571" s="1" t="s">
        <v>2087</v>
      </c>
      <c r="B571" s="1" t="s">
        <v>2133</v>
      </c>
      <c r="C571" s="2">
        <v>44469</v>
      </c>
      <c r="D571" s="21">
        <v>151</v>
      </c>
      <c r="E571" s="21">
        <v>181.2</v>
      </c>
      <c r="F571" s="1" t="s">
        <v>470</v>
      </c>
      <c r="G571" s="22" t="s">
        <v>1101</v>
      </c>
      <c r="H571" s="22" t="s">
        <v>1102</v>
      </c>
      <c r="I571" s="1" t="s">
        <v>982</v>
      </c>
    </row>
    <row r="572" spans="1:9" x14ac:dyDescent="0.25">
      <c r="A572" s="1" t="s">
        <v>2088</v>
      </c>
      <c r="B572" s="1" t="s">
        <v>2147</v>
      </c>
      <c r="C572" s="2">
        <v>44473</v>
      </c>
      <c r="D572" s="21">
        <v>165.96</v>
      </c>
      <c r="E572" s="21">
        <v>199.15</v>
      </c>
      <c r="F572" s="1" t="s">
        <v>466</v>
      </c>
      <c r="G572" s="1" t="s">
        <v>1105</v>
      </c>
      <c r="H572" s="22" t="s">
        <v>1106</v>
      </c>
      <c r="I572" s="1" t="s">
        <v>2148</v>
      </c>
    </row>
    <row r="573" spans="1:9" x14ac:dyDescent="0.25">
      <c r="A573" s="1" t="s">
        <v>2089</v>
      </c>
      <c r="B573" s="1" t="s">
        <v>2228</v>
      </c>
      <c r="C573" s="2">
        <v>44473</v>
      </c>
      <c r="D573" s="6">
        <f>69</f>
        <v>69</v>
      </c>
      <c r="E573" s="6">
        <v>82.8</v>
      </c>
      <c r="F573" s="1" t="s">
        <v>472</v>
      </c>
      <c r="G573" s="1" t="s">
        <v>1151</v>
      </c>
      <c r="H573" s="4" t="s">
        <v>1100</v>
      </c>
      <c r="I573" s="1" t="s">
        <v>2229</v>
      </c>
    </row>
    <row r="574" spans="1:9" x14ac:dyDescent="0.25">
      <c r="A574" s="1" t="s">
        <v>2090</v>
      </c>
      <c r="B574" s="1" t="s">
        <v>2134</v>
      </c>
      <c r="C574" s="2">
        <v>44475</v>
      </c>
      <c r="D574" s="21">
        <v>49.5</v>
      </c>
      <c r="E574" s="21">
        <v>49.5</v>
      </c>
      <c r="F574" s="1" t="s">
        <v>469</v>
      </c>
      <c r="G574" s="4" t="s">
        <v>1100</v>
      </c>
      <c r="H574" s="4" t="s">
        <v>1100</v>
      </c>
      <c r="I574" s="1" t="s">
        <v>1940</v>
      </c>
    </row>
    <row r="575" spans="1:9" x14ac:dyDescent="0.25">
      <c r="A575" s="1" t="s">
        <v>2091</v>
      </c>
      <c r="B575" s="1" t="s">
        <v>540</v>
      </c>
      <c r="C575" s="2">
        <v>44475</v>
      </c>
      <c r="D575" s="21">
        <v>780</v>
      </c>
      <c r="E575" s="21">
        <v>780</v>
      </c>
      <c r="F575" s="1" t="s">
        <v>473</v>
      </c>
      <c r="G575" s="1" t="s">
        <v>1109</v>
      </c>
      <c r="H575" s="22" t="s">
        <v>1110</v>
      </c>
      <c r="I575" s="1" t="s">
        <v>2135</v>
      </c>
    </row>
    <row r="576" spans="1:9" x14ac:dyDescent="0.25">
      <c r="A576" s="1" t="s">
        <v>2092</v>
      </c>
      <c r="B576" s="1" t="s">
        <v>2136</v>
      </c>
      <c r="C576" s="2">
        <v>44475</v>
      </c>
      <c r="D576" s="21">
        <v>236.5</v>
      </c>
      <c r="E576" s="21">
        <v>283.8</v>
      </c>
      <c r="F576" s="1" t="s">
        <v>468</v>
      </c>
      <c r="G576" s="1" t="s">
        <v>1098</v>
      </c>
      <c r="H576" s="27" t="s">
        <v>1108</v>
      </c>
      <c r="I576" s="1" t="s">
        <v>2137</v>
      </c>
    </row>
    <row r="577" spans="1:9" x14ac:dyDescent="0.25">
      <c r="A577" s="1" t="s">
        <v>2093</v>
      </c>
      <c r="B577" s="1" t="s">
        <v>2138</v>
      </c>
      <c r="C577" s="2">
        <v>44475</v>
      </c>
      <c r="D577" s="21">
        <v>906.63</v>
      </c>
      <c r="E577" s="21">
        <v>1087.96</v>
      </c>
      <c r="F577" s="1" t="s">
        <v>468</v>
      </c>
      <c r="G577" s="1" t="s">
        <v>1098</v>
      </c>
      <c r="H577" s="27" t="s">
        <v>1108</v>
      </c>
      <c r="I577" s="1" t="s">
        <v>2139</v>
      </c>
    </row>
    <row r="578" spans="1:9" x14ac:dyDescent="0.25">
      <c r="A578" s="1" t="s">
        <v>2094</v>
      </c>
      <c r="B578" s="1" t="s">
        <v>2140</v>
      </c>
      <c r="C578" s="2">
        <v>44475</v>
      </c>
      <c r="D578" s="21">
        <v>1220</v>
      </c>
      <c r="E578" s="21">
        <v>1464</v>
      </c>
      <c r="F578" s="1" t="s">
        <v>468</v>
      </c>
      <c r="G578" s="1" t="s">
        <v>1098</v>
      </c>
      <c r="H578" s="27" t="s">
        <v>1108</v>
      </c>
      <c r="I578" s="1" t="s">
        <v>2141</v>
      </c>
    </row>
    <row r="579" spans="1:9" x14ac:dyDescent="0.25">
      <c r="A579" s="1" t="s">
        <v>2095</v>
      </c>
      <c r="B579" s="1" t="s">
        <v>2142</v>
      </c>
      <c r="C579" s="2">
        <v>44476</v>
      </c>
      <c r="D579" s="21">
        <v>264</v>
      </c>
      <c r="E579" s="21">
        <v>316.8</v>
      </c>
      <c r="F579" s="1" t="s">
        <v>488</v>
      </c>
      <c r="G579" s="1" t="s">
        <v>1137</v>
      </c>
      <c r="H579" s="22" t="s">
        <v>1138</v>
      </c>
      <c r="I579" s="1" t="s">
        <v>2040</v>
      </c>
    </row>
    <row r="580" spans="1:9" x14ac:dyDescent="0.25">
      <c r="A580" s="1" t="s">
        <v>2096</v>
      </c>
      <c r="B580" s="1" t="s">
        <v>2149</v>
      </c>
      <c r="C580" s="2">
        <v>44477</v>
      </c>
      <c r="D580" s="21">
        <f>Tabuľka1383132[[#This Row],[Suma s DPH]]/1.2</f>
        <v>902.5</v>
      </c>
      <c r="E580" s="21">
        <v>1083</v>
      </c>
      <c r="F580" s="1" t="s">
        <v>504</v>
      </c>
      <c r="G580" s="1" t="s">
        <v>1107</v>
      </c>
      <c r="H580" s="22" t="s">
        <v>1108</v>
      </c>
      <c r="I580" s="1" t="s">
        <v>2150</v>
      </c>
    </row>
    <row r="581" spans="1:9" x14ac:dyDescent="0.25">
      <c r="A581" s="1" t="s">
        <v>2097</v>
      </c>
      <c r="B581" s="1" t="s">
        <v>2145</v>
      </c>
      <c r="C581" s="2">
        <v>44481</v>
      </c>
      <c r="D581" s="29">
        <v>-3.07</v>
      </c>
      <c r="E581" s="29">
        <v>-3.68</v>
      </c>
      <c r="F581" s="1" t="s">
        <v>468</v>
      </c>
      <c r="G581" s="1" t="s">
        <v>1098</v>
      </c>
      <c r="H581" s="27" t="s">
        <v>1108</v>
      </c>
      <c r="I581" s="1" t="s">
        <v>2146</v>
      </c>
    </row>
    <row r="582" spans="1:9" x14ac:dyDescent="0.25">
      <c r="A582" s="1" t="s">
        <v>2098</v>
      </c>
      <c r="B582" s="1" t="s">
        <v>2151</v>
      </c>
      <c r="C582" s="2">
        <v>44481</v>
      </c>
      <c r="D582" s="21">
        <v>29.76</v>
      </c>
      <c r="E582" s="21">
        <v>29.76</v>
      </c>
      <c r="F582" s="1" t="s">
        <v>468</v>
      </c>
      <c r="G582" s="1" t="s">
        <v>1098</v>
      </c>
      <c r="H582" s="27" t="s">
        <v>1108</v>
      </c>
      <c r="I582" s="1" t="s">
        <v>2152</v>
      </c>
    </row>
    <row r="583" spans="1:9" x14ac:dyDescent="0.25">
      <c r="A583" s="1" t="s">
        <v>2099</v>
      </c>
      <c r="B583" s="1" t="s">
        <v>2143</v>
      </c>
      <c r="C583" s="2">
        <v>44481</v>
      </c>
      <c r="D583" s="29">
        <v>-4.3</v>
      </c>
      <c r="E583" s="29">
        <v>-5.16</v>
      </c>
      <c r="F583" s="1" t="s">
        <v>468</v>
      </c>
      <c r="G583" s="1" t="s">
        <v>1098</v>
      </c>
      <c r="H583" s="27" t="s">
        <v>1108</v>
      </c>
      <c r="I583" s="1" t="s">
        <v>2144</v>
      </c>
    </row>
    <row r="584" spans="1:9" x14ac:dyDescent="0.25">
      <c r="A584" s="1" t="s">
        <v>2100</v>
      </c>
      <c r="B584" s="1" t="s">
        <v>2174</v>
      </c>
      <c r="C584" s="2">
        <v>44481</v>
      </c>
      <c r="D584" s="21">
        <v>74.12</v>
      </c>
      <c r="E584" s="21">
        <v>88.95</v>
      </c>
      <c r="F584" s="1" t="s">
        <v>468</v>
      </c>
      <c r="G584" s="1" t="s">
        <v>2175</v>
      </c>
      <c r="H584" s="27" t="s">
        <v>1108</v>
      </c>
      <c r="I584" s="1" t="s">
        <v>2177</v>
      </c>
    </row>
    <row r="585" spans="1:9" x14ac:dyDescent="0.25">
      <c r="A585" s="1" t="s">
        <v>2101</v>
      </c>
      <c r="B585" s="1" t="s">
        <v>2179</v>
      </c>
      <c r="C585" s="2">
        <v>44481</v>
      </c>
      <c r="D585" s="21">
        <v>247.87</v>
      </c>
      <c r="E585" s="21">
        <v>297.45</v>
      </c>
      <c r="F585" s="1" t="s">
        <v>468</v>
      </c>
      <c r="G585" s="1" t="s">
        <v>2176</v>
      </c>
      <c r="H585" s="27" t="s">
        <v>1108</v>
      </c>
      <c r="I585" s="1" t="s">
        <v>2180</v>
      </c>
    </row>
    <row r="586" spans="1:9" x14ac:dyDescent="0.25">
      <c r="A586" s="1" t="s">
        <v>2102</v>
      </c>
      <c r="B586" s="1" t="s">
        <v>2181</v>
      </c>
      <c r="C586" s="2">
        <v>44481</v>
      </c>
      <c r="D586" s="21">
        <v>1079.0999999999999</v>
      </c>
      <c r="E586" s="21">
        <v>1294.92</v>
      </c>
      <c r="F586" s="1" t="s">
        <v>468</v>
      </c>
      <c r="G586" s="1" t="s">
        <v>2178</v>
      </c>
      <c r="H586" s="27" t="s">
        <v>1108</v>
      </c>
      <c r="I586" s="1" t="s">
        <v>2182</v>
      </c>
    </row>
    <row r="587" spans="1:9" x14ac:dyDescent="0.25">
      <c r="A587" s="1" t="s">
        <v>2153</v>
      </c>
      <c r="B587" s="1" t="s">
        <v>2183</v>
      </c>
      <c r="C587" s="2">
        <v>44487</v>
      </c>
      <c r="D587" s="21">
        <v>49.5</v>
      </c>
      <c r="E587" s="21">
        <v>49.5</v>
      </c>
      <c r="F587" s="1" t="s">
        <v>469</v>
      </c>
      <c r="G587" s="4" t="s">
        <v>1100</v>
      </c>
      <c r="H587" s="4" t="s">
        <v>1100</v>
      </c>
      <c r="I587" s="1" t="s">
        <v>1940</v>
      </c>
    </row>
    <row r="588" spans="1:9" x14ac:dyDescent="0.25">
      <c r="A588" s="1" t="s">
        <v>2154</v>
      </c>
      <c r="B588" s="1" t="s">
        <v>2184</v>
      </c>
      <c r="C588" s="2">
        <v>44487</v>
      </c>
      <c r="D588" s="21">
        <v>374</v>
      </c>
      <c r="E588" s="21">
        <v>374</v>
      </c>
      <c r="F588" s="1" t="s">
        <v>469</v>
      </c>
      <c r="G588" s="4" t="s">
        <v>1100</v>
      </c>
      <c r="H588" s="4" t="s">
        <v>1100</v>
      </c>
      <c r="I588" s="1" t="s">
        <v>1940</v>
      </c>
    </row>
    <row r="589" spans="1:9" x14ac:dyDescent="0.25">
      <c r="A589" s="1" t="s">
        <v>2155</v>
      </c>
      <c r="B589" s="1" t="s">
        <v>2185</v>
      </c>
      <c r="C589" s="2">
        <v>44487</v>
      </c>
      <c r="D589" s="21">
        <v>40</v>
      </c>
      <c r="E589" s="21">
        <v>40</v>
      </c>
      <c r="F589" s="1" t="s">
        <v>469</v>
      </c>
      <c r="G589" s="4" t="s">
        <v>1100</v>
      </c>
      <c r="H589" s="4" t="s">
        <v>1100</v>
      </c>
      <c r="I589" s="1" t="s">
        <v>1940</v>
      </c>
    </row>
    <row r="590" spans="1:9" x14ac:dyDescent="0.25">
      <c r="A590" s="1" t="s">
        <v>2156</v>
      </c>
      <c r="B590" s="1" t="s">
        <v>2186</v>
      </c>
      <c r="C590" s="2">
        <v>44487</v>
      </c>
      <c r="D590" s="21">
        <v>49.5</v>
      </c>
      <c r="E590" s="21">
        <v>49.5</v>
      </c>
      <c r="F590" s="1" t="s">
        <v>469</v>
      </c>
      <c r="G590" s="4" t="s">
        <v>1100</v>
      </c>
      <c r="H590" s="4" t="s">
        <v>1100</v>
      </c>
      <c r="I590" s="1" t="s">
        <v>1940</v>
      </c>
    </row>
    <row r="591" spans="1:9" x14ac:dyDescent="0.25">
      <c r="A591" s="1" t="s">
        <v>2157</v>
      </c>
      <c r="B591" s="1" t="s">
        <v>2187</v>
      </c>
      <c r="C591" s="2">
        <v>44487</v>
      </c>
      <c r="D591" s="21">
        <v>16.5</v>
      </c>
      <c r="E591" s="21">
        <v>19.8</v>
      </c>
      <c r="F591" s="1" t="s">
        <v>479</v>
      </c>
      <c r="G591" s="22" t="s">
        <v>1124</v>
      </c>
      <c r="H591" s="22" t="s">
        <v>2188</v>
      </c>
      <c r="I591" s="1" t="s">
        <v>1942</v>
      </c>
    </row>
    <row r="592" spans="1:9" x14ac:dyDescent="0.25">
      <c r="A592" s="1" t="s">
        <v>2158</v>
      </c>
      <c r="B592" s="1" t="s">
        <v>1681</v>
      </c>
      <c r="C592" s="2">
        <v>44487</v>
      </c>
      <c r="D592" s="21">
        <v>16.5</v>
      </c>
      <c r="E592" s="21">
        <v>19.8</v>
      </c>
      <c r="F592" s="1" t="s">
        <v>479</v>
      </c>
      <c r="G592" s="22" t="s">
        <v>1124</v>
      </c>
      <c r="H592" s="22" t="s">
        <v>2188</v>
      </c>
      <c r="I592" s="1" t="s">
        <v>1942</v>
      </c>
    </row>
    <row r="593" spans="1:9" x14ac:dyDescent="0.25">
      <c r="A593" s="1" t="s">
        <v>2159</v>
      </c>
      <c r="B593" s="1" t="s">
        <v>2189</v>
      </c>
      <c r="C593" s="2">
        <v>44487</v>
      </c>
      <c r="D593" s="21">
        <v>16.5</v>
      </c>
      <c r="E593" s="21">
        <v>19.8</v>
      </c>
      <c r="F593" s="1" t="s">
        <v>479</v>
      </c>
      <c r="G593" s="22" t="s">
        <v>1124</v>
      </c>
      <c r="H593" s="22" t="s">
        <v>2188</v>
      </c>
      <c r="I593" s="1" t="s">
        <v>1942</v>
      </c>
    </row>
    <row r="594" spans="1:9" x14ac:dyDescent="0.25">
      <c r="A594" s="1" t="s">
        <v>2160</v>
      </c>
      <c r="B594" s="1" t="s">
        <v>2190</v>
      </c>
      <c r="C594" s="2">
        <v>44487</v>
      </c>
      <c r="D594" s="21">
        <v>16.5</v>
      </c>
      <c r="E594" s="21">
        <v>19.8</v>
      </c>
      <c r="F594" s="1" t="s">
        <v>479</v>
      </c>
      <c r="G594" s="22" t="s">
        <v>1124</v>
      </c>
      <c r="H594" s="22" t="s">
        <v>2188</v>
      </c>
      <c r="I594" s="1" t="s">
        <v>1942</v>
      </c>
    </row>
    <row r="595" spans="1:9" x14ac:dyDescent="0.25">
      <c r="A595" s="1" t="s">
        <v>2161</v>
      </c>
      <c r="B595" s="1" t="s">
        <v>2191</v>
      </c>
      <c r="C595" s="2">
        <v>44487</v>
      </c>
      <c r="D595" s="21">
        <v>16.5</v>
      </c>
      <c r="E595" s="21">
        <v>19.8</v>
      </c>
      <c r="F595" s="1" t="s">
        <v>479</v>
      </c>
      <c r="G595" s="22" t="s">
        <v>1124</v>
      </c>
      <c r="H595" s="22" t="s">
        <v>2188</v>
      </c>
      <c r="I595" s="1" t="s">
        <v>1942</v>
      </c>
    </row>
    <row r="596" spans="1:9" x14ac:dyDescent="0.25">
      <c r="A596" s="1" t="s">
        <v>2162</v>
      </c>
      <c r="B596" s="1" t="s">
        <v>2192</v>
      </c>
      <c r="C596" s="2">
        <v>44487</v>
      </c>
      <c r="D596" s="21">
        <v>16.5</v>
      </c>
      <c r="E596" s="21">
        <v>19.8</v>
      </c>
      <c r="F596" s="1" t="s">
        <v>479</v>
      </c>
      <c r="G596" s="22" t="s">
        <v>1124</v>
      </c>
      <c r="H596" s="22" t="s">
        <v>2188</v>
      </c>
      <c r="I596" s="1" t="s">
        <v>1942</v>
      </c>
    </row>
    <row r="597" spans="1:9" x14ac:dyDescent="0.25">
      <c r="A597" s="1" t="s">
        <v>2163</v>
      </c>
      <c r="B597" s="1" t="s">
        <v>2193</v>
      </c>
      <c r="C597" s="2">
        <v>44487</v>
      </c>
      <c r="D597" s="21">
        <v>16.5</v>
      </c>
      <c r="E597" s="21">
        <v>19.8</v>
      </c>
      <c r="F597" s="1" t="s">
        <v>479</v>
      </c>
      <c r="G597" s="22" t="s">
        <v>1124</v>
      </c>
      <c r="H597" s="22" t="s">
        <v>2188</v>
      </c>
      <c r="I597" s="1" t="s">
        <v>1942</v>
      </c>
    </row>
    <row r="598" spans="1:9" x14ac:dyDescent="0.25">
      <c r="A598" s="1" t="s">
        <v>2164</v>
      </c>
      <c r="B598" s="1" t="s">
        <v>1684</v>
      </c>
      <c r="C598" s="2">
        <v>44487</v>
      </c>
      <c r="D598" s="21">
        <v>16.5</v>
      </c>
      <c r="E598" s="21">
        <v>19.8</v>
      </c>
      <c r="F598" s="1" t="s">
        <v>479</v>
      </c>
      <c r="G598" s="22" t="s">
        <v>1124</v>
      </c>
      <c r="H598" s="22" t="s">
        <v>2188</v>
      </c>
      <c r="I598" s="1" t="s">
        <v>1942</v>
      </c>
    </row>
    <row r="599" spans="1:9" x14ac:dyDescent="0.25">
      <c r="A599" s="1" t="s">
        <v>2165</v>
      </c>
      <c r="B599" s="1" t="s">
        <v>2194</v>
      </c>
      <c r="C599" s="2">
        <v>44487</v>
      </c>
      <c r="D599" s="21">
        <v>16.5</v>
      </c>
      <c r="E599" s="21">
        <v>19.8</v>
      </c>
      <c r="F599" s="1" t="s">
        <v>479</v>
      </c>
      <c r="G599" s="22" t="s">
        <v>1124</v>
      </c>
      <c r="H599" s="22" t="s">
        <v>2188</v>
      </c>
      <c r="I599" s="1" t="s">
        <v>1942</v>
      </c>
    </row>
    <row r="600" spans="1:9" x14ac:dyDescent="0.25">
      <c r="A600" s="1" t="s">
        <v>2166</v>
      </c>
      <c r="B600" s="1" t="s">
        <v>2195</v>
      </c>
      <c r="C600" s="2">
        <v>44487</v>
      </c>
      <c r="D600" s="21">
        <v>16.5</v>
      </c>
      <c r="E600" s="21">
        <v>19.8</v>
      </c>
      <c r="F600" s="1" t="s">
        <v>479</v>
      </c>
      <c r="G600" s="22" t="s">
        <v>1124</v>
      </c>
      <c r="H600" s="22" t="s">
        <v>2188</v>
      </c>
      <c r="I600" s="1" t="s">
        <v>1942</v>
      </c>
    </row>
    <row r="601" spans="1:9" x14ac:dyDescent="0.25">
      <c r="A601" s="1" t="s">
        <v>2167</v>
      </c>
      <c r="B601" s="1" t="s">
        <v>2196</v>
      </c>
      <c r="C601" s="2">
        <v>44487</v>
      </c>
      <c r="D601" s="21">
        <v>16.5</v>
      </c>
      <c r="E601" s="21">
        <v>19.8</v>
      </c>
      <c r="F601" s="1" t="s">
        <v>479</v>
      </c>
      <c r="G601" s="22" t="s">
        <v>1124</v>
      </c>
      <c r="H601" s="22" t="s">
        <v>2188</v>
      </c>
      <c r="I601" s="1" t="s">
        <v>1942</v>
      </c>
    </row>
    <row r="602" spans="1:9" x14ac:dyDescent="0.25">
      <c r="A602" s="1" t="s">
        <v>2168</v>
      </c>
      <c r="B602" s="1" t="s">
        <v>2197</v>
      </c>
      <c r="C602" s="2">
        <v>44487</v>
      </c>
      <c r="D602" s="21">
        <v>16.5</v>
      </c>
      <c r="E602" s="21">
        <v>19.8</v>
      </c>
      <c r="F602" s="1" t="s">
        <v>479</v>
      </c>
      <c r="G602" s="22" t="s">
        <v>1124</v>
      </c>
      <c r="H602" s="22" t="s">
        <v>2188</v>
      </c>
      <c r="I602" s="1" t="s">
        <v>1942</v>
      </c>
    </row>
    <row r="603" spans="1:9" x14ac:dyDescent="0.25">
      <c r="A603" s="1" t="s">
        <v>2169</v>
      </c>
      <c r="B603" s="1" t="s">
        <v>2198</v>
      </c>
      <c r="C603" s="2">
        <v>44487</v>
      </c>
      <c r="D603" s="21">
        <v>16.5</v>
      </c>
      <c r="E603" s="21">
        <v>16.5</v>
      </c>
      <c r="F603" s="1" t="s">
        <v>469</v>
      </c>
      <c r="G603" s="4" t="s">
        <v>1100</v>
      </c>
      <c r="H603" s="4" t="s">
        <v>1100</v>
      </c>
      <c r="I603" s="1" t="s">
        <v>1940</v>
      </c>
    </row>
    <row r="604" spans="1:9" x14ac:dyDescent="0.25">
      <c r="A604" s="1" t="s">
        <v>2170</v>
      </c>
      <c r="B604" s="1" t="s">
        <v>2199</v>
      </c>
      <c r="C604" s="2">
        <v>44487</v>
      </c>
      <c r="D604" s="21">
        <v>16.5</v>
      </c>
      <c r="E604" s="21">
        <v>16.5</v>
      </c>
      <c r="F604" s="1" t="s">
        <v>469</v>
      </c>
      <c r="G604" s="4" t="s">
        <v>1100</v>
      </c>
      <c r="H604" s="4" t="s">
        <v>1100</v>
      </c>
      <c r="I604" s="1" t="s">
        <v>1940</v>
      </c>
    </row>
    <row r="605" spans="1:9" x14ac:dyDescent="0.25">
      <c r="A605" s="1" t="s">
        <v>2171</v>
      </c>
      <c r="B605" s="1" t="s">
        <v>2200</v>
      </c>
      <c r="C605" s="2">
        <v>44487</v>
      </c>
      <c r="D605" s="21">
        <v>16.5</v>
      </c>
      <c r="E605" s="21">
        <v>16.5</v>
      </c>
      <c r="F605" s="1" t="s">
        <v>469</v>
      </c>
      <c r="G605" s="4" t="s">
        <v>1100</v>
      </c>
      <c r="H605" s="4" t="s">
        <v>1100</v>
      </c>
      <c r="I605" s="1" t="s">
        <v>1940</v>
      </c>
    </row>
    <row r="606" spans="1:9" x14ac:dyDescent="0.25">
      <c r="A606" s="1" t="s">
        <v>2172</v>
      </c>
      <c r="B606" s="1" t="s">
        <v>2210</v>
      </c>
      <c r="C606" s="2">
        <v>44487</v>
      </c>
      <c r="D606" s="21">
        <v>16.5</v>
      </c>
      <c r="E606" s="21">
        <v>16.5</v>
      </c>
      <c r="F606" s="1" t="s">
        <v>469</v>
      </c>
      <c r="G606" s="4" t="s">
        <v>1100</v>
      </c>
      <c r="H606" s="4" t="s">
        <v>1100</v>
      </c>
      <c r="I606" s="1" t="s">
        <v>1940</v>
      </c>
    </row>
    <row r="607" spans="1:9" x14ac:dyDescent="0.25">
      <c r="A607" s="1" t="s">
        <v>2173</v>
      </c>
      <c r="B607" s="1" t="s">
        <v>2211</v>
      </c>
      <c r="C607" s="2">
        <v>44487</v>
      </c>
      <c r="D607" s="21">
        <v>16.5</v>
      </c>
      <c r="E607" s="21">
        <v>16.5</v>
      </c>
      <c r="F607" s="1" t="s">
        <v>469</v>
      </c>
      <c r="G607" s="4" t="s">
        <v>1100</v>
      </c>
      <c r="H607" s="4" t="s">
        <v>1100</v>
      </c>
      <c r="I607" s="1" t="s">
        <v>1940</v>
      </c>
    </row>
    <row r="608" spans="1:9" x14ac:dyDescent="0.25">
      <c r="A608" s="1" t="s">
        <v>2201</v>
      </c>
      <c r="B608" s="1" t="s">
        <v>2212</v>
      </c>
      <c r="C608" s="2">
        <v>44487</v>
      </c>
      <c r="D608" s="21">
        <v>16.5</v>
      </c>
      <c r="E608" s="21">
        <v>16.5</v>
      </c>
      <c r="F608" s="1" t="s">
        <v>469</v>
      </c>
      <c r="G608" s="4" t="s">
        <v>1100</v>
      </c>
      <c r="H608" s="4" t="s">
        <v>1100</v>
      </c>
      <c r="I608" s="1" t="s">
        <v>1940</v>
      </c>
    </row>
    <row r="609" spans="1:9" x14ac:dyDescent="0.25">
      <c r="A609" s="1" t="s">
        <v>2202</v>
      </c>
      <c r="B609" s="1" t="s">
        <v>2213</v>
      </c>
      <c r="C609" s="2">
        <v>44487</v>
      </c>
      <c r="D609" s="21">
        <v>16.5</v>
      </c>
      <c r="E609" s="21">
        <v>16.5</v>
      </c>
      <c r="F609" s="1" t="s">
        <v>469</v>
      </c>
      <c r="G609" s="4" t="s">
        <v>1100</v>
      </c>
      <c r="H609" s="4" t="s">
        <v>1100</v>
      </c>
      <c r="I609" s="1" t="s">
        <v>1940</v>
      </c>
    </row>
    <row r="610" spans="1:9" x14ac:dyDescent="0.25">
      <c r="A610" s="1" t="s">
        <v>2203</v>
      </c>
      <c r="B610" s="1" t="s">
        <v>2214</v>
      </c>
      <c r="C610" s="2">
        <v>44487</v>
      </c>
      <c r="D610" s="21">
        <v>16.5</v>
      </c>
      <c r="E610" s="21">
        <v>16.5</v>
      </c>
      <c r="F610" s="1" t="s">
        <v>469</v>
      </c>
      <c r="G610" s="4" t="s">
        <v>1100</v>
      </c>
      <c r="H610" s="4" t="s">
        <v>1100</v>
      </c>
      <c r="I610" s="1" t="s">
        <v>1940</v>
      </c>
    </row>
    <row r="611" spans="1:9" x14ac:dyDescent="0.25">
      <c r="A611" s="1" t="s">
        <v>2204</v>
      </c>
      <c r="B611" s="1" t="s">
        <v>2215</v>
      </c>
      <c r="C611" s="2">
        <v>44487</v>
      </c>
      <c r="D611" s="21">
        <v>16.5</v>
      </c>
      <c r="E611" s="21">
        <v>16.5</v>
      </c>
      <c r="F611" s="1" t="s">
        <v>469</v>
      </c>
      <c r="G611" s="4" t="s">
        <v>1100</v>
      </c>
      <c r="H611" s="4" t="s">
        <v>1100</v>
      </c>
      <c r="I611" s="1" t="s">
        <v>1940</v>
      </c>
    </row>
    <row r="612" spans="1:9" x14ac:dyDescent="0.25">
      <c r="A612" s="1" t="s">
        <v>2205</v>
      </c>
      <c r="B612" s="1" t="s">
        <v>2216</v>
      </c>
      <c r="C612" s="2">
        <v>44487</v>
      </c>
      <c r="D612" s="21">
        <v>16.5</v>
      </c>
      <c r="E612" s="21">
        <v>16.5</v>
      </c>
      <c r="F612" s="1" t="s">
        <v>469</v>
      </c>
      <c r="G612" s="4" t="s">
        <v>1100</v>
      </c>
      <c r="H612" s="4" t="s">
        <v>1100</v>
      </c>
      <c r="I612" s="1" t="s">
        <v>1940</v>
      </c>
    </row>
    <row r="613" spans="1:9" x14ac:dyDescent="0.25">
      <c r="A613" s="1" t="s">
        <v>2206</v>
      </c>
      <c r="B613" s="1" t="s">
        <v>2217</v>
      </c>
      <c r="C613" s="2">
        <v>44487</v>
      </c>
      <c r="D613" s="21">
        <v>16.5</v>
      </c>
      <c r="E613" s="21">
        <v>16.5</v>
      </c>
      <c r="F613" s="1" t="s">
        <v>469</v>
      </c>
      <c r="G613" s="4" t="s">
        <v>1100</v>
      </c>
      <c r="H613" s="4" t="s">
        <v>1100</v>
      </c>
      <c r="I613" s="1" t="s">
        <v>1940</v>
      </c>
    </row>
    <row r="614" spans="1:9" x14ac:dyDescent="0.25">
      <c r="A614" s="1" t="s">
        <v>2207</v>
      </c>
      <c r="B614" s="1" t="s">
        <v>2218</v>
      </c>
      <c r="C614" s="2">
        <v>44487</v>
      </c>
      <c r="D614" s="21">
        <v>16.5</v>
      </c>
      <c r="E614" s="21">
        <v>16.5</v>
      </c>
      <c r="F614" s="1" t="s">
        <v>469</v>
      </c>
      <c r="G614" s="4" t="s">
        <v>1100</v>
      </c>
      <c r="H614" s="4" t="s">
        <v>1100</v>
      </c>
      <c r="I614" s="1" t="s">
        <v>1940</v>
      </c>
    </row>
    <row r="615" spans="1:9" x14ac:dyDescent="0.25">
      <c r="A615" s="1" t="s">
        <v>2208</v>
      </c>
      <c r="B615" s="1" t="s">
        <v>2219</v>
      </c>
      <c r="C615" s="2">
        <v>44487</v>
      </c>
      <c r="D615" s="21">
        <v>50.76</v>
      </c>
      <c r="E615" s="21">
        <v>60.9</v>
      </c>
      <c r="F615" s="1" t="s">
        <v>467</v>
      </c>
      <c r="G615" s="22" t="s">
        <v>1099</v>
      </c>
      <c r="H615" s="1" t="s">
        <v>1117</v>
      </c>
      <c r="I615" s="1" t="s">
        <v>2220</v>
      </c>
    </row>
    <row r="616" spans="1:9" x14ac:dyDescent="0.25">
      <c r="A616" s="1" t="s">
        <v>2209</v>
      </c>
      <c r="B616" s="1" t="s">
        <v>2221</v>
      </c>
      <c r="C616" s="2">
        <v>44487</v>
      </c>
      <c r="D616" s="21">
        <v>465</v>
      </c>
      <c r="E616" s="21">
        <v>558</v>
      </c>
      <c r="F616" s="1" t="s">
        <v>2222</v>
      </c>
      <c r="G616" s="22" t="s">
        <v>2223</v>
      </c>
      <c r="H616" s="22" t="s">
        <v>2224</v>
      </c>
      <c r="I616" s="1" t="s">
        <v>2225</v>
      </c>
    </row>
    <row r="617" spans="1:9" x14ac:dyDescent="0.25">
      <c r="A617" s="1" t="s">
        <v>2256</v>
      </c>
      <c r="B617" s="1" t="s">
        <v>2280</v>
      </c>
      <c r="C617" s="2">
        <v>44488</v>
      </c>
      <c r="D617" s="29">
        <v>-13.35</v>
      </c>
      <c r="E617" s="29">
        <v>-16.02</v>
      </c>
      <c r="F617" s="1" t="s">
        <v>468</v>
      </c>
      <c r="G617" s="1" t="s">
        <v>2175</v>
      </c>
      <c r="H617" s="27" t="s">
        <v>1108</v>
      </c>
      <c r="I617" s="1" t="s">
        <v>2281</v>
      </c>
    </row>
    <row r="618" spans="1:9" x14ac:dyDescent="0.25">
      <c r="A618" s="1" t="s">
        <v>2257</v>
      </c>
      <c r="B618" s="1" t="s">
        <v>2282</v>
      </c>
      <c r="C618" s="2">
        <v>44488</v>
      </c>
      <c r="D618" s="21">
        <v>162.6</v>
      </c>
      <c r="E618" s="21">
        <v>195.12</v>
      </c>
      <c r="F618" s="1" t="s">
        <v>468</v>
      </c>
      <c r="G618" s="1" t="s">
        <v>1098</v>
      </c>
      <c r="H618" s="7" t="s">
        <v>1108</v>
      </c>
      <c r="I618" s="1" t="s">
        <v>2283</v>
      </c>
    </row>
    <row r="619" spans="1:9" x14ac:dyDescent="0.25">
      <c r="A619" s="1" t="s">
        <v>2258</v>
      </c>
      <c r="B619" s="1" t="s">
        <v>2284</v>
      </c>
      <c r="C619" s="2">
        <v>44488</v>
      </c>
      <c r="D619" s="21">
        <v>2895.72</v>
      </c>
      <c r="E619" s="21">
        <v>3474.87</v>
      </c>
      <c r="F619" s="1" t="s">
        <v>468</v>
      </c>
      <c r="G619" s="1" t="s">
        <v>1098</v>
      </c>
      <c r="H619" s="7" t="s">
        <v>1108</v>
      </c>
      <c r="I619" s="1" t="s">
        <v>2285</v>
      </c>
    </row>
    <row r="620" spans="1:9" x14ac:dyDescent="0.25">
      <c r="A620" s="1" t="s">
        <v>2259</v>
      </c>
      <c r="B620" s="1" t="s">
        <v>2286</v>
      </c>
      <c r="C620" s="2">
        <v>44488</v>
      </c>
      <c r="D620" s="21">
        <v>43</v>
      </c>
      <c r="E620" s="21">
        <v>51.6</v>
      </c>
      <c r="F620" s="1" t="s">
        <v>468</v>
      </c>
      <c r="G620" s="1" t="s">
        <v>1098</v>
      </c>
      <c r="H620" s="7" t="s">
        <v>1108</v>
      </c>
      <c r="I620" s="1" t="s">
        <v>2287</v>
      </c>
    </row>
    <row r="621" spans="1:9" x14ac:dyDescent="0.25">
      <c r="A621" s="1" t="s">
        <v>2260</v>
      </c>
      <c r="B621" s="1" t="s">
        <v>2288</v>
      </c>
      <c r="C621" s="2">
        <v>44488</v>
      </c>
      <c r="D621" s="21">
        <v>8105.94</v>
      </c>
      <c r="E621" s="21">
        <v>9727.1299999999992</v>
      </c>
      <c r="F621" s="1" t="s">
        <v>468</v>
      </c>
      <c r="G621" s="1" t="s">
        <v>1098</v>
      </c>
      <c r="H621" s="7" t="s">
        <v>2443</v>
      </c>
      <c r="I621" s="1" t="s">
        <v>2289</v>
      </c>
    </row>
    <row r="622" spans="1:9" x14ac:dyDescent="0.25">
      <c r="A622" s="1" t="s">
        <v>2261</v>
      </c>
      <c r="B622" s="1" t="s">
        <v>2290</v>
      </c>
      <c r="C622" s="2">
        <v>44488</v>
      </c>
      <c r="D622" s="21">
        <v>658.02</v>
      </c>
      <c r="E622" s="21">
        <v>789.62</v>
      </c>
      <c r="F622" s="1" t="s">
        <v>468</v>
      </c>
      <c r="G622" s="1" t="s">
        <v>1098</v>
      </c>
      <c r="H622" s="7" t="s">
        <v>2443</v>
      </c>
      <c r="I622" s="1" t="s">
        <v>2291</v>
      </c>
    </row>
    <row r="623" spans="1:9" x14ac:dyDescent="0.25">
      <c r="A623" s="1" t="s">
        <v>2262</v>
      </c>
      <c r="B623" s="1" t="s">
        <v>2292</v>
      </c>
      <c r="C623" s="2">
        <v>44488</v>
      </c>
      <c r="D623" s="21">
        <v>1389.31</v>
      </c>
      <c r="E623" s="21">
        <v>1667.17</v>
      </c>
      <c r="F623" s="1" t="s">
        <v>468</v>
      </c>
      <c r="G623" s="1" t="s">
        <v>1098</v>
      </c>
      <c r="H623" s="7" t="s">
        <v>1108</v>
      </c>
      <c r="I623" s="1" t="s">
        <v>2293</v>
      </c>
    </row>
    <row r="624" spans="1:9" x14ac:dyDescent="0.25">
      <c r="A624" s="1" t="s">
        <v>2263</v>
      </c>
      <c r="B624" s="1" t="s">
        <v>2468</v>
      </c>
      <c r="C624" s="2">
        <v>44488</v>
      </c>
      <c r="D624" s="29">
        <v>-424.08</v>
      </c>
      <c r="E624" s="29">
        <v>-508.9</v>
      </c>
      <c r="F624" s="1" t="s">
        <v>2467</v>
      </c>
      <c r="G624" s="22" t="s">
        <v>2470</v>
      </c>
      <c r="H624" s="7" t="s">
        <v>1108</v>
      </c>
      <c r="I624" s="1" t="s">
        <v>2473</v>
      </c>
    </row>
    <row r="625" spans="1:9" x14ac:dyDescent="0.25">
      <c r="A625" s="1" t="s">
        <v>2264</v>
      </c>
      <c r="B625" s="1" t="s">
        <v>2469</v>
      </c>
      <c r="C625" s="2">
        <v>44488</v>
      </c>
      <c r="D625" s="21">
        <v>485</v>
      </c>
      <c r="E625" s="21">
        <v>582</v>
      </c>
      <c r="F625" s="1" t="s">
        <v>2467</v>
      </c>
      <c r="G625" s="22" t="s">
        <v>2470</v>
      </c>
      <c r="H625" s="7" t="s">
        <v>2472</v>
      </c>
      <c r="I625" s="1" t="s">
        <v>2471</v>
      </c>
    </row>
    <row r="626" spans="1:9" x14ac:dyDescent="0.25">
      <c r="A626" s="1" t="s">
        <v>2265</v>
      </c>
      <c r="B626" s="1" t="s">
        <v>2294</v>
      </c>
      <c r="C626" s="2">
        <v>44484</v>
      </c>
      <c r="D626" s="21">
        <f>Tabuľka1383132[[#This Row],[Suma s DPH]]/1.2</f>
        <v>22822.05</v>
      </c>
      <c r="E626" s="21">
        <v>27386.46</v>
      </c>
      <c r="F626" s="1" t="s">
        <v>475</v>
      </c>
      <c r="G626" s="22" t="s">
        <v>1115</v>
      </c>
      <c r="H626" s="1" t="s">
        <v>1116</v>
      </c>
      <c r="I626" s="1" t="s">
        <v>2295</v>
      </c>
    </row>
    <row r="627" spans="1:9" x14ac:dyDescent="0.25">
      <c r="A627" s="1" t="s">
        <v>2266</v>
      </c>
      <c r="B627" s="1" t="s">
        <v>2296</v>
      </c>
      <c r="C627" s="2">
        <v>44496</v>
      </c>
      <c r="D627" s="21">
        <v>1973.69</v>
      </c>
      <c r="E627" s="21">
        <v>2368.4299999999998</v>
      </c>
      <c r="F627" s="1" t="s">
        <v>470</v>
      </c>
      <c r="G627" s="1" t="s">
        <v>1101</v>
      </c>
      <c r="H627" s="22" t="s">
        <v>1102</v>
      </c>
      <c r="I627" s="1" t="s">
        <v>2109</v>
      </c>
    </row>
    <row r="628" spans="1:9" x14ac:dyDescent="0.25">
      <c r="A628" s="1" t="s">
        <v>2267</v>
      </c>
      <c r="B628" s="1" t="s">
        <v>2297</v>
      </c>
      <c r="C628" s="2">
        <v>44502</v>
      </c>
      <c r="D628" s="21">
        <v>700</v>
      </c>
      <c r="E628" s="21">
        <v>840</v>
      </c>
      <c r="F628" s="1" t="s">
        <v>468</v>
      </c>
      <c r="G628" s="1" t="s">
        <v>1098</v>
      </c>
      <c r="H628" s="22" t="s">
        <v>1189</v>
      </c>
      <c r="I628" s="1" t="s">
        <v>2298</v>
      </c>
    </row>
    <row r="629" spans="1:9" x14ac:dyDescent="0.25">
      <c r="A629" s="1" t="s">
        <v>2268</v>
      </c>
      <c r="B629" s="1" t="s">
        <v>2299</v>
      </c>
      <c r="C629" s="2">
        <v>44502</v>
      </c>
      <c r="D629" s="21">
        <v>160</v>
      </c>
      <c r="E629" s="21">
        <v>192</v>
      </c>
      <c r="F629" s="1" t="s">
        <v>468</v>
      </c>
      <c r="G629" s="1" t="s">
        <v>1098</v>
      </c>
      <c r="H629" s="22" t="s">
        <v>1189</v>
      </c>
      <c r="I629" s="1" t="s">
        <v>2302</v>
      </c>
    </row>
    <row r="630" spans="1:9" x14ac:dyDescent="0.25">
      <c r="A630" s="1" t="s">
        <v>2269</v>
      </c>
      <c r="B630" s="1" t="s">
        <v>2300</v>
      </c>
      <c r="C630" s="2">
        <v>44502</v>
      </c>
      <c r="D630" s="21">
        <v>112</v>
      </c>
      <c r="E630" s="21">
        <v>134.4</v>
      </c>
      <c r="F630" s="1" t="s">
        <v>468</v>
      </c>
      <c r="G630" s="1" t="s">
        <v>1098</v>
      </c>
      <c r="H630" s="22" t="s">
        <v>1189</v>
      </c>
      <c r="I630" s="1" t="s">
        <v>2301</v>
      </c>
    </row>
    <row r="631" spans="1:9" x14ac:dyDescent="0.25">
      <c r="A631" s="1" t="s">
        <v>2270</v>
      </c>
      <c r="B631" s="1" t="s">
        <v>2303</v>
      </c>
      <c r="C631" s="2">
        <v>44502</v>
      </c>
      <c r="D631" s="21">
        <v>24</v>
      </c>
      <c r="E631" s="21">
        <v>28.8</v>
      </c>
      <c r="F631" s="1" t="s">
        <v>468</v>
      </c>
      <c r="G631" s="1" t="s">
        <v>1098</v>
      </c>
      <c r="H631" s="22" t="s">
        <v>1189</v>
      </c>
      <c r="I631" s="1" t="s">
        <v>2304</v>
      </c>
    </row>
    <row r="632" spans="1:9" x14ac:dyDescent="0.25">
      <c r="A632" s="1" t="s">
        <v>2271</v>
      </c>
      <c r="B632" s="1" t="s">
        <v>2305</v>
      </c>
      <c r="C632" s="2">
        <v>44502</v>
      </c>
      <c r="D632" s="21">
        <v>19065.830000000002</v>
      </c>
      <c r="E632" s="21">
        <v>22879</v>
      </c>
      <c r="F632" s="1" t="s">
        <v>468</v>
      </c>
      <c r="G632" s="1" t="s">
        <v>1098</v>
      </c>
      <c r="H632" s="22" t="s">
        <v>1189</v>
      </c>
      <c r="I632" s="1" t="s">
        <v>2306</v>
      </c>
    </row>
    <row r="633" spans="1:9" x14ac:dyDescent="0.25">
      <c r="A633" s="1" t="s">
        <v>2272</v>
      </c>
      <c r="B633" s="1" t="s">
        <v>2307</v>
      </c>
      <c r="C633" s="2">
        <v>44502</v>
      </c>
      <c r="D633" s="21">
        <v>13390.83</v>
      </c>
      <c r="E633" s="21">
        <v>16069</v>
      </c>
      <c r="F633" s="1" t="s">
        <v>468</v>
      </c>
      <c r="G633" s="1" t="s">
        <v>1098</v>
      </c>
      <c r="H633" s="22" t="s">
        <v>1189</v>
      </c>
      <c r="I633" s="1" t="s">
        <v>2308</v>
      </c>
    </row>
    <row r="634" spans="1:9" x14ac:dyDescent="0.25">
      <c r="A634" s="1" t="s">
        <v>2273</v>
      </c>
      <c r="B634" s="1" t="s">
        <v>2309</v>
      </c>
      <c r="C634" s="2">
        <v>44502</v>
      </c>
      <c r="D634" s="21">
        <v>2909.63</v>
      </c>
      <c r="E634" s="21">
        <v>3491.56</v>
      </c>
      <c r="F634" s="1" t="s">
        <v>468</v>
      </c>
      <c r="G634" s="1" t="s">
        <v>1098</v>
      </c>
      <c r="H634" s="22" t="s">
        <v>1189</v>
      </c>
      <c r="I634" s="1" t="s">
        <v>2310</v>
      </c>
    </row>
    <row r="635" spans="1:9" x14ac:dyDescent="0.25">
      <c r="A635" s="1" t="s">
        <v>2274</v>
      </c>
      <c r="B635" s="1" t="s">
        <v>2311</v>
      </c>
      <c r="C635" s="2">
        <v>44502</v>
      </c>
      <c r="D635" s="21">
        <v>18997</v>
      </c>
      <c r="E635" s="21">
        <v>22796.400000000001</v>
      </c>
      <c r="F635" s="1" t="s">
        <v>468</v>
      </c>
      <c r="G635" s="1" t="s">
        <v>1098</v>
      </c>
      <c r="H635" s="22" t="s">
        <v>1189</v>
      </c>
      <c r="I635" s="1" t="s">
        <v>2312</v>
      </c>
    </row>
    <row r="636" spans="1:9" x14ac:dyDescent="0.25">
      <c r="A636" s="1" t="s">
        <v>2275</v>
      </c>
      <c r="B636" s="1" t="s">
        <v>2313</v>
      </c>
      <c r="C636" s="2">
        <v>44502</v>
      </c>
      <c r="D636" s="21">
        <v>3320.83</v>
      </c>
      <c r="E636" s="21">
        <v>3985</v>
      </c>
      <c r="F636" s="1" t="s">
        <v>468</v>
      </c>
      <c r="G636" s="1" t="s">
        <v>1098</v>
      </c>
      <c r="H636" s="27" t="s">
        <v>1108</v>
      </c>
      <c r="I636" s="1" t="s">
        <v>2314</v>
      </c>
    </row>
    <row r="637" spans="1:9" x14ac:dyDescent="0.25">
      <c r="A637" s="1" t="s">
        <v>2276</v>
      </c>
      <c r="B637" s="1" t="s">
        <v>2315</v>
      </c>
      <c r="C637" s="2">
        <v>44502</v>
      </c>
      <c r="D637" s="21">
        <v>387</v>
      </c>
      <c r="E637" s="21">
        <v>464.4</v>
      </c>
      <c r="F637" s="1" t="s">
        <v>468</v>
      </c>
      <c r="G637" s="1" t="s">
        <v>1098</v>
      </c>
      <c r="H637" s="7" t="s">
        <v>1108</v>
      </c>
      <c r="I637" s="1" t="s">
        <v>2316</v>
      </c>
    </row>
    <row r="638" spans="1:9" x14ac:dyDescent="0.25">
      <c r="A638" s="1" t="s">
        <v>2277</v>
      </c>
      <c r="B638" s="1" t="s">
        <v>2317</v>
      </c>
      <c r="C638" s="2">
        <v>44502</v>
      </c>
      <c r="D638" s="21">
        <v>49.5</v>
      </c>
      <c r="E638" s="21">
        <v>49.5</v>
      </c>
      <c r="F638" s="1" t="s">
        <v>469</v>
      </c>
      <c r="G638" s="4" t="s">
        <v>1100</v>
      </c>
      <c r="H638" s="4" t="s">
        <v>1100</v>
      </c>
      <c r="I638" s="1" t="s">
        <v>1940</v>
      </c>
    </row>
    <row r="639" spans="1:9" x14ac:dyDescent="0.25">
      <c r="A639" s="1" t="s">
        <v>2278</v>
      </c>
      <c r="B639" s="1" t="s">
        <v>2318</v>
      </c>
      <c r="C639" s="2">
        <v>44502</v>
      </c>
      <c r="D639" s="21">
        <v>350.5</v>
      </c>
      <c r="E639" s="21">
        <v>350.5</v>
      </c>
      <c r="F639" s="1" t="s">
        <v>469</v>
      </c>
      <c r="G639" s="4" t="s">
        <v>1100</v>
      </c>
      <c r="H639" s="4" t="s">
        <v>1100</v>
      </c>
      <c r="I639" s="1" t="s">
        <v>1940</v>
      </c>
    </row>
    <row r="640" spans="1:9" x14ac:dyDescent="0.25">
      <c r="A640" s="1" t="s">
        <v>2279</v>
      </c>
      <c r="B640" s="1" t="s">
        <v>2319</v>
      </c>
      <c r="C640" s="2">
        <v>44502</v>
      </c>
      <c r="D640" s="21">
        <v>49.5</v>
      </c>
      <c r="E640" s="21">
        <v>49.5</v>
      </c>
      <c r="F640" s="1" t="s">
        <v>469</v>
      </c>
      <c r="G640" s="4" t="s">
        <v>1100</v>
      </c>
      <c r="H640" s="4" t="s">
        <v>1100</v>
      </c>
      <c r="I640" s="1" t="s">
        <v>1940</v>
      </c>
    </row>
    <row r="641" spans="1:9" x14ac:dyDescent="0.25">
      <c r="A641" s="1" t="s">
        <v>2326</v>
      </c>
      <c r="B641" s="1" t="s">
        <v>2396</v>
      </c>
      <c r="C641" s="2">
        <v>44503</v>
      </c>
      <c r="D641" s="21">
        <v>780</v>
      </c>
      <c r="E641" s="21">
        <v>780</v>
      </c>
      <c r="F641" s="1" t="s">
        <v>473</v>
      </c>
      <c r="G641" s="1" t="s">
        <v>1109</v>
      </c>
      <c r="H641" s="22" t="s">
        <v>1110</v>
      </c>
      <c r="I641" s="1" t="s">
        <v>2397</v>
      </c>
    </row>
    <row r="642" spans="1:9" x14ac:dyDescent="0.25">
      <c r="A642" s="1" t="s">
        <v>2327</v>
      </c>
      <c r="B642" s="1" t="s">
        <v>2398</v>
      </c>
      <c r="C642" s="2">
        <v>44503</v>
      </c>
      <c r="D642" s="28">
        <v>264</v>
      </c>
      <c r="E642" s="21">
        <v>316</v>
      </c>
      <c r="F642" s="1" t="s">
        <v>488</v>
      </c>
      <c r="G642" s="1" t="s">
        <v>1137</v>
      </c>
      <c r="H642" s="22" t="s">
        <v>1138</v>
      </c>
      <c r="I642" s="1" t="s">
        <v>2399</v>
      </c>
    </row>
    <row r="643" spans="1:9" x14ac:dyDescent="0.25">
      <c r="A643" s="1" t="s">
        <v>2328</v>
      </c>
      <c r="B643" s="1" t="s">
        <v>2400</v>
      </c>
      <c r="C643" s="2">
        <v>44505</v>
      </c>
      <c r="D643" s="28">
        <v>12311.67</v>
      </c>
      <c r="E643" s="21">
        <v>14774</v>
      </c>
      <c r="F643" s="1" t="s">
        <v>468</v>
      </c>
      <c r="G643" s="1" t="s">
        <v>1098</v>
      </c>
      <c r="H643" s="7" t="s">
        <v>1108</v>
      </c>
      <c r="I643" s="1" t="s">
        <v>2402</v>
      </c>
    </row>
    <row r="644" spans="1:9" x14ac:dyDescent="0.25">
      <c r="A644" s="1" t="s">
        <v>2329</v>
      </c>
      <c r="B644" s="1" t="s">
        <v>2401</v>
      </c>
      <c r="C644" s="2">
        <v>44505</v>
      </c>
      <c r="D644" s="28">
        <v>12311.67</v>
      </c>
      <c r="E644" s="21">
        <v>14774</v>
      </c>
      <c r="F644" s="1" t="s">
        <v>468</v>
      </c>
      <c r="G644" s="22" t="s">
        <v>1098</v>
      </c>
      <c r="H644" s="7" t="s">
        <v>1108</v>
      </c>
      <c r="I644" s="1" t="s">
        <v>2403</v>
      </c>
    </row>
    <row r="645" spans="1:9" x14ac:dyDescent="0.25">
      <c r="A645" s="1" t="s">
        <v>2330</v>
      </c>
      <c r="B645" s="1" t="s">
        <v>2404</v>
      </c>
      <c r="C645" s="2">
        <v>44505</v>
      </c>
      <c r="D645" s="28">
        <v>1215</v>
      </c>
      <c r="E645" s="21">
        <v>1458</v>
      </c>
      <c r="F645" s="1" t="s">
        <v>468</v>
      </c>
      <c r="G645" s="22" t="s">
        <v>1098</v>
      </c>
      <c r="H645" s="7" t="s">
        <v>1108</v>
      </c>
      <c r="I645" s="1" t="s">
        <v>2405</v>
      </c>
    </row>
    <row r="646" spans="1:9" x14ac:dyDescent="0.25">
      <c r="A646" s="1" t="s">
        <v>2331</v>
      </c>
      <c r="B646" s="1" t="s">
        <v>2406</v>
      </c>
      <c r="C646" s="2">
        <v>44508</v>
      </c>
      <c r="D646" s="28">
        <v>940</v>
      </c>
      <c r="E646" s="21">
        <v>1128</v>
      </c>
      <c r="F646" s="1" t="s">
        <v>506</v>
      </c>
      <c r="G646" s="22" t="s">
        <v>1155</v>
      </c>
      <c r="H646" s="22" t="s">
        <v>2407</v>
      </c>
      <c r="I646" s="1" t="s">
        <v>2408</v>
      </c>
    </row>
    <row r="647" spans="1:9" x14ac:dyDescent="0.25">
      <c r="A647" s="1" t="s">
        <v>2332</v>
      </c>
      <c r="B647" s="1" t="s">
        <v>667</v>
      </c>
      <c r="C647" s="2">
        <v>44509</v>
      </c>
      <c r="D647" s="28">
        <v>3449</v>
      </c>
      <c r="E647" s="21">
        <v>4138.8</v>
      </c>
      <c r="F647" s="1" t="s">
        <v>2409</v>
      </c>
      <c r="G647" s="22" t="s">
        <v>2410</v>
      </c>
      <c r="H647" s="22" t="s">
        <v>2411</v>
      </c>
      <c r="I647" s="1" t="s">
        <v>2412</v>
      </c>
    </row>
    <row r="648" spans="1:9" x14ac:dyDescent="0.25">
      <c r="A648" s="1" t="s">
        <v>2333</v>
      </c>
      <c r="B648" s="1" t="s">
        <v>2413</v>
      </c>
      <c r="C648" s="2">
        <v>44509</v>
      </c>
      <c r="D648" s="28">
        <v>254.74</v>
      </c>
      <c r="E648" s="21">
        <v>305.69</v>
      </c>
      <c r="F648" s="1" t="s">
        <v>504</v>
      </c>
      <c r="G648" s="22" t="s">
        <v>1107</v>
      </c>
      <c r="H648" s="22" t="s">
        <v>1108</v>
      </c>
      <c r="I648" s="1" t="s">
        <v>2414</v>
      </c>
    </row>
    <row r="649" spans="1:9" x14ac:dyDescent="0.25">
      <c r="A649" s="1" t="s">
        <v>2334</v>
      </c>
      <c r="B649" s="1" t="s">
        <v>2415</v>
      </c>
      <c r="C649" s="2">
        <v>44511</v>
      </c>
      <c r="D649" s="28">
        <v>27</v>
      </c>
      <c r="E649" s="21">
        <v>27</v>
      </c>
      <c r="F649" s="1" t="s">
        <v>469</v>
      </c>
      <c r="G649" s="4" t="s">
        <v>1100</v>
      </c>
      <c r="H649" s="4" t="s">
        <v>1100</v>
      </c>
      <c r="I649" s="1" t="s">
        <v>1940</v>
      </c>
    </row>
    <row r="650" spans="1:9" x14ac:dyDescent="0.25">
      <c r="A650" s="1" t="s">
        <v>2335</v>
      </c>
      <c r="B650" s="1" t="s">
        <v>2416</v>
      </c>
      <c r="C650" s="2">
        <v>44511</v>
      </c>
      <c r="D650" s="28">
        <v>47</v>
      </c>
      <c r="E650" s="21">
        <v>47</v>
      </c>
      <c r="F650" s="1" t="s">
        <v>469</v>
      </c>
      <c r="G650" s="4" t="s">
        <v>1100</v>
      </c>
      <c r="H650" s="4" t="s">
        <v>1100</v>
      </c>
      <c r="I650" s="1" t="s">
        <v>1940</v>
      </c>
    </row>
    <row r="651" spans="1:9" x14ac:dyDescent="0.25">
      <c r="A651" s="1" t="s">
        <v>2336</v>
      </c>
      <c r="B651" s="1" t="s">
        <v>2417</v>
      </c>
      <c r="C651" s="2">
        <v>44511</v>
      </c>
      <c r="D651" s="28">
        <v>49.5</v>
      </c>
      <c r="E651" s="21">
        <v>49.5</v>
      </c>
      <c r="F651" s="1" t="s">
        <v>469</v>
      </c>
      <c r="G651" s="4" t="s">
        <v>1100</v>
      </c>
      <c r="H651" s="4" t="s">
        <v>1100</v>
      </c>
      <c r="I651" s="1" t="s">
        <v>1940</v>
      </c>
    </row>
    <row r="652" spans="1:9" x14ac:dyDescent="0.25">
      <c r="A652" s="1" t="s">
        <v>2337</v>
      </c>
      <c r="B652" s="1" t="s">
        <v>2418</v>
      </c>
      <c r="C652" s="2">
        <v>44510</v>
      </c>
      <c r="D652" s="28">
        <v>50.76</v>
      </c>
      <c r="E652" s="21">
        <v>60.9</v>
      </c>
      <c r="F652" s="1" t="s">
        <v>467</v>
      </c>
      <c r="G652" s="22" t="s">
        <v>1099</v>
      </c>
      <c r="H652" s="1" t="s">
        <v>1117</v>
      </c>
      <c r="I652" s="1" t="s">
        <v>2419</v>
      </c>
    </row>
    <row r="653" spans="1:9" x14ac:dyDescent="0.25">
      <c r="A653" s="1" t="s">
        <v>2338</v>
      </c>
      <c r="B653" s="1" t="s">
        <v>2420</v>
      </c>
      <c r="C653" s="2">
        <v>44511</v>
      </c>
      <c r="D653" s="28">
        <v>165.96</v>
      </c>
      <c r="E653" s="21">
        <v>199.15</v>
      </c>
      <c r="F653" s="1" t="s">
        <v>466</v>
      </c>
      <c r="G653" s="1" t="s">
        <v>1105</v>
      </c>
      <c r="H653" s="22" t="s">
        <v>1106</v>
      </c>
      <c r="I653" s="1" t="s">
        <v>2421</v>
      </c>
    </row>
    <row r="654" spans="1:9" x14ac:dyDescent="0.25">
      <c r="A654" s="1" t="s">
        <v>2339</v>
      </c>
      <c r="B654" s="1" t="s">
        <v>2422</v>
      </c>
      <c r="C654" s="2">
        <v>44512</v>
      </c>
      <c r="D654" s="28">
        <v>82.5</v>
      </c>
      <c r="E654" s="21">
        <v>99</v>
      </c>
      <c r="F654" s="1" t="s">
        <v>468</v>
      </c>
      <c r="G654" s="1" t="s">
        <v>1098</v>
      </c>
      <c r="H654" s="7" t="s">
        <v>2443</v>
      </c>
      <c r="I654" s="22" t="s">
        <v>2423</v>
      </c>
    </row>
    <row r="655" spans="1:9" x14ac:dyDescent="0.25">
      <c r="A655" s="1" t="s">
        <v>2340</v>
      </c>
      <c r="B655" s="1" t="s">
        <v>2424</v>
      </c>
      <c r="C655" s="2">
        <v>44512</v>
      </c>
      <c r="D655" s="24">
        <v>1325</v>
      </c>
      <c r="E655" s="21">
        <v>1590</v>
      </c>
      <c r="F655" s="1" t="s">
        <v>468</v>
      </c>
      <c r="G655" s="1" t="s">
        <v>1098</v>
      </c>
      <c r="H655" s="7" t="s">
        <v>2443</v>
      </c>
      <c r="I655" s="22" t="s">
        <v>2425</v>
      </c>
    </row>
    <row r="656" spans="1:9" x14ac:dyDescent="0.25">
      <c r="A656" s="1" t="s">
        <v>2341</v>
      </c>
      <c r="B656" s="1" t="s">
        <v>2426</v>
      </c>
      <c r="C656" s="2">
        <v>44512</v>
      </c>
      <c r="D656" s="24">
        <v>1479.6</v>
      </c>
      <c r="E656" s="21">
        <v>1775.52</v>
      </c>
      <c r="F656" s="1" t="s">
        <v>468</v>
      </c>
      <c r="G656" s="1" t="s">
        <v>1098</v>
      </c>
      <c r="H656" s="27" t="s">
        <v>1108</v>
      </c>
      <c r="I656" s="22" t="s">
        <v>2428</v>
      </c>
    </row>
    <row r="657" spans="1:9" x14ac:dyDescent="0.25">
      <c r="A657" s="1" t="s">
        <v>2342</v>
      </c>
      <c r="B657" s="1" t="s">
        <v>2427</v>
      </c>
      <c r="C657" s="2">
        <v>44512</v>
      </c>
      <c r="D657" s="24">
        <v>7.09</v>
      </c>
      <c r="E657" s="21">
        <v>8.51</v>
      </c>
      <c r="F657" s="1" t="s">
        <v>468</v>
      </c>
      <c r="G657" s="1" t="s">
        <v>1098</v>
      </c>
      <c r="H657" s="27" t="s">
        <v>1108</v>
      </c>
      <c r="I657" s="22" t="s">
        <v>2429</v>
      </c>
    </row>
    <row r="658" spans="1:9" x14ac:dyDescent="0.25">
      <c r="A658" s="1" t="s">
        <v>2343</v>
      </c>
      <c r="B658" s="1" t="s">
        <v>2430</v>
      </c>
      <c r="C658" s="2">
        <v>44512</v>
      </c>
      <c r="D658" s="24">
        <v>30.4</v>
      </c>
      <c r="E658" s="21">
        <v>30.4</v>
      </c>
      <c r="F658" s="1" t="s">
        <v>468</v>
      </c>
      <c r="G658" s="1" t="s">
        <v>1098</v>
      </c>
      <c r="H658" s="27" t="s">
        <v>1108</v>
      </c>
      <c r="I658" s="22" t="s">
        <v>2431</v>
      </c>
    </row>
    <row r="659" spans="1:9" x14ac:dyDescent="0.25">
      <c r="A659" s="1" t="s">
        <v>2344</v>
      </c>
      <c r="B659" s="1" t="s">
        <v>2432</v>
      </c>
      <c r="C659" s="2">
        <v>44512</v>
      </c>
      <c r="D659" s="24">
        <v>143.07</v>
      </c>
      <c r="E659" s="21">
        <v>171.69</v>
      </c>
      <c r="F659" s="1" t="s">
        <v>468</v>
      </c>
      <c r="G659" s="1" t="s">
        <v>1098</v>
      </c>
      <c r="H659" s="27" t="s">
        <v>1108</v>
      </c>
      <c r="I659" s="1" t="s">
        <v>2433</v>
      </c>
    </row>
    <row r="660" spans="1:9" x14ac:dyDescent="0.25">
      <c r="A660" s="1" t="s">
        <v>2345</v>
      </c>
      <c r="B660" s="1" t="s">
        <v>2434</v>
      </c>
      <c r="C660" s="2">
        <v>44512</v>
      </c>
      <c r="D660" s="24">
        <v>193.5</v>
      </c>
      <c r="E660" s="21">
        <v>232.2</v>
      </c>
      <c r="F660" s="1" t="s">
        <v>468</v>
      </c>
      <c r="G660" s="1" t="s">
        <v>1098</v>
      </c>
      <c r="H660" s="27" t="s">
        <v>1108</v>
      </c>
      <c r="I660" s="22" t="s">
        <v>2435</v>
      </c>
    </row>
    <row r="661" spans="1:9" x14ac:dyDescent="0.25">
      <c r="A661" s="1" t="s">
        <v>2346</v>
      </c>
      <c r="B661" s="1" t="s">
        <v>2436</v>
      </c>
      <c r="C661" s="2">
        <v>44512</v>
      </c>
      <c r="D661" s="24">
        <v>684.58</v>
      </c>
      <c r="E661" s="21">
        <v>821.5</v>
      </c>
      <c r="F661" s="1" t="s">
        <v>468</v>
      </c>
      <c r="G661" s="1" t="s">
        <v>1098</v>
      </c>
      <c r="H661" s="7" t="s">
        <v>2443</v>
      </c>
      <c r="I661" s="22" t="s">
        <v>2437</v>
      </c>
    </row>
    <row r="662" spans="1:9" x14ac:dyDescent="0.25">
      <c r="A662" s="1" t="s">
        <v>2347</v>
      </c>
      <c r="B662" s="1" t="s">
        <v>2438</v>
      </c>
      <c r="C662" s="2">
        <v>44512</v>
      </c>
      <c r="D662" s="24">
        <v>162.6</v>
      </c>
      <c r="E662" s="21">
        <v>195.12</v>
      </c>
      <c r="F662" s="1" t="s">
        <v>468</v>
      </c>
      <c r="G662" s="1" t="s">
        <v>1098</v>
      </c>
      <c r="H662" s="7" t="s">
        <v>1108</v>
      </c>
      <c r="I662" s="1" t="s">
        <v>2439</v>
      </c>
    </row>
    <row r="663" spans="1:9" x14ac:dyDescent="0.25">
      <c r="A663" s="1" t="s">
        <v>2348</v>
      </c>
      <c r="B663" s="1" t="s">
        <v>2440</v>
      </c>
      <c r="C663" s="2">
        <v>44512</v>
      </c>
      <c r="D663" s="24">
        <v>246.87</v>
      </c>
      <c r="E663" s="21">
        <v>296.25</v>
      </c>
      <c r="F663" s="1" t="s">
        <v>468</v>
      </c>
      <c r="G663" s="1" t="s">
        <v>1098</v>
      </c>
      <c r="H663" s="27" t="s">
        <v>1108</v>
      </c>
      <c r="I663" s="1" t="s">
        <v>2441</v>
      </c>
    </row>
    <row r="664" spans="1:9" x14ac:dyDescent="0.25">
      <c r="A664" s="1" t="s">
        <v>2349</v>
      </c>
      <c r="B664" s="1" t="s">
        <v>2442</v>
      </c>
      <c r="C664" s="2">
        <v>44512</v>
      </c>
      <c r="D664" s="24">
        <v>10052.120000000001</v>
      </c>
      <c r="E664" s="21">
        <v>12062.54</v>
      </c>
      <c r="F664" s="1" t="s">
        <v>468</v>
      </c>
      <c r="G664" s="1" t="s">
        <v>1098</v>
      </c>
      <c r="H664" s="7" t="s">
        <v>2022</v>
      </c>
      <c r="I664" s="22" t="s">
        <v>2444</v>
      </c>
    </row>
    <row r="665" spans="1:9" x14ac:dyDescent="0.25">
      <c r="A665" s="1" t="s">
        <v>2350</v>
      </c>
      <c r="B665" s="1" t="s">
        <v>2445</v>
      </c>
      <c r="C665" s="2">
        <v>44512</v>
      </c>
      <c r="D665" s="24">
        <v>2384.92</v>
      </c>
      <c r="E665" s="21">
        <v>2861.9</v>
      </c>
      <c r="F665" s="1" t="s">
        <v>506</v>
      </c>
      <c r="G665" s="1" t="s">
        <v>1155</v>
      </c>
      <c r="H665" s="22" t="s">
        <v>2446</v>
      </c>
      <c r="I665" s="22" t="s">
        <v>2447</v>
      </c>
    </row>
    <row r="666" spans="1:9" x14ac:dyDescent="0.25">
      <c r="A666" s="1" t="s">
        <v>2351</v>
      </c>
      <c r="B666" s="1" t="s">
        <v>2448</v>
      </c>
      <c r="C666" s="2">
        <v>44512</v>
      </c>
      <c r="D666" s="24">
        <v>507</v>
      </c>
      <c r="E666" s="21">
        <v>608.4</v>
      </c>
      <c r="F666" s="1" t="s">
        <v>470</v>
      </c>
      <c r="G666" s="1" t="s">
        <v>1098</v>
      </c>
      <c r="H666" s="22" t="s">
        <v>1102</v>
      </c>
      <c r="I666" s="1" t="s">
        <v>982</v>
      </c>
    </row>
    <row r="667" spans="1:9" x14ac:dyDescent="0.25">
      <c r="A667" s="1" t="s">
        <v>2352</v>
      </c>
      <c r="B667" s="1" t="s">
        <v>2449</v>
      </c>
      <c r="C667" s="2">
        <v>44512</v>
      </c>
      <c r="D667" s="24">
        <v>220</v>
      </c>
      <c r="E667" s="21">
        <v>264</v>
      </c>
      <c r="F667" s="1" t="s">
        <v>470</v>
      </c>
      <c r="G667" s="1" t="s">
        <v>1098</v>
      </c>
      <c r="H667" s="22" t="s">
        <v>1102</v>
      </c>
      <c r="I667" s="1" t="s">
        <v>982</v>
      </c>
    </row>
    <row r="668" spans="1:9" x14ac:dyDescent="0.25">
      <c r="A668" s="1" t="s">
        <v>2353</v>
      </c>
      <c r="B668" s="1" t="s">
        <v>2450</v>
      </c>
      <c r="C668" s="2">
        <v>44512</v>
      </c>
      <c r="D668" s="24">
        <v>355</v>
      </c>
      <c r="E668" s="21">
        <v>426</v>
      </c>
      <c r="F668" s="1" t="s">
        <v>2451</v>
      </c>
      <c r="G668" s="1" t="s">
        <v>2452</v>
      </c>
      <c r="H668" s="22" t="s">
        <v>1102</v>
      </c>
      <c r="I668" s="1" t="s">
        <v>2453</v>
      </c>
    </row>
    <row r="669" spans="1:9" x14ac:dyDescent="0.25">
      <c r="A669" s="1" t="s">
        <v>2354</v>
      </c>
      <c r="B669" s="1" t="s">
        <v>2454</v>
      </c>
      <c r="C669" s="2">
        <v>44512</v>
      </c>
      <c r="D669" s="24">
        <v>852</v>
      </c>
      <c r="E669" s="21">
        <v>1022.41</v>
      </c>
      <c r="F669" s="1" t="s">
        <v>2451</v>
      </c>
      <c r="G669" s="1" t="s">
        <v>2452</v>
      </c>
      <c r="H669" s="22" t="s">
        <v>1102</v>
      </c>
      <c r="I669" s="1" t="s">
        <v>2455</v>
      </c>
    </row>
    <row r="670" spans="1:9" x14ac:dyDescent="0.25">
      <c r="A670" s="1" t="s">
        <v>2355</v>
      </c>
      <c r="B670" s="1" t="s">
        <v>2456</v>
      </c>
      <c r="C670" s="2">
        <v>44512</v>
      </c>
      <c r="D670" s="24">
        <v>319.5</v>
      </c>
      <c r="E670" s="21">
        <v>383.41</v>
      </c>
      <c r="F670" s="1" t="s">
        <v>2451</v>
      </c>
      <c r="G670" s="1" t="s">
        <v>2452</v>
      </c>
      <c r="H670" s="22" t="s">
        <v>1102</v>
      </c>
      <c r="I670" s="1" t="s">
        <v>2457</v>
      </c>
    </row>
    <row r="671" spans="1:9" x14ac:dyDescent="0.25">
      <c r="A671" s="1" t="s">
        <v>2356</v>
      </c>
      <c r="B671" s="1" t="s">
        <v>2458</v>
      </c>
      <c r="C671" s="2">
        <v>44512</v>
      </c>
      <c r="D671" s="24">
        <v>98.4</v>
      </c>
      <c r="E671" s="21">
        <v>118.08</v>
      </c>
      <c r="F671" s="1" t="s">
        <v>2459</v>
      </c>
      <c r="G671" s="1" t="s">
        <v>1198</v>
      </c>
      <c r="H671" s="22" t="s">
        <v>2460</v>
      </c>
      <c r="I671" s="1" t="s">
        <v>2461</v>
      </c>
    </row>
    <row r="672" spans="1:9" x14ac:dyDescent="0.25">
      <c r="A672" s="1" t="s">
        <v>2357</v>
      </c>
      <c r="B672" s="1" t="s">
        <v>2462</v>
      </c>
      <c r="C672" s="2">
        <v>44515</v>
      </c>
      <c r="D672" s="24">
        <v>14618.21</v>
      </c>
      <c r="E672" s="21">
        <v>17541.849999999999</v>
      </c>
      <c r="F672" s="1" t="s">
        <v>2222</v>
      </c>
      <c r="G672" s="1" t="s">
        <v>2223</v>
      </c>
      <c r="H672" s="22" t="s">
        <v>2463</v>
      </c>
      <c r="I672" s="1" t="s">
        <v>2464</v>
      </c>
    </row>
    <row r="673" spans="1:9" x14ac:dyDescent="0.25">
      <c r="A673" s="1" t="s">
        <v>2358</v>
      </c>
      <c r="B673" s="1" t="s">
        <v>2465</v>
      </c>
      <c r="C673" s="2">
        <v>44512</v>
      </c>
      <c r="D673" s="24">
        <v>12804.36</v>
      </c>
      <c r="E673" s="21">
        <v>15365.23</v>
      </c>
      <c r="F673" s="1" t="s">
        <v>475</v>
      </c>
      <c r="G673" s="1" t="s">
        <v>1115</v>
      </c>
      <c r="H673" s="1" t="s">
        <v>1116</v>
      </c>
      <c r="I673" s="1" t="s">
        <v>2466</v>
      </c>
    </row>
    <row r="674" spans="1:9" x14ac:dyDescent="0.25">
      <c r="A674" s="1" t="s">
        <v>2474</v>
      </c>
      <c r="B674" s="1" t="s">
        <v>2492</v>
      </c>
      <c r="C674" s="2">
        <v>44524</v>
      </c>
      <c r="D674" s="24">
        <v>417.1</v>
      </c>
      <c r="E674" s="21">
        <v>417.1</v>
      </c>
      <c r="F674" s="1" t="s">
        <v>2493</v>
      </c>
      <c r="G674" s="1" t="s">
        <v>2375</v>
      </c>
      <c r="H674" s="1" t="s">
        <v>2494</v>
      </c>
      <c r="I674" s="1" t="s">
        <v>2495</v>
      </c>
    </row>
    <row r="675" spans="1:9" x14ac:dyDescent="0.25">
      <c r="A675" s="1" t="s">
        <v>2475</v>
      </c>
      <c r="B675" s="1" t="s">
        <v>2496</v>
      </c>
      <c r="C675" s="2">
        <v>44524</v>
      </c>
      <c r="D675" s="24">
        <v>697.72</v>
      </c>
      <c r="E675" s="21">
        <v>697.72</v>
      </c>
      <c r="F675" s="1" t="s">
        <v>2493</v>
      </c>
      <c r="G675" s="1" t="s">
        <v>2375</v>
      </c>
      <c r="H675" s="1" t="s">
        <v>2497</v>
      </c>
      <c r="I675" s="1" t="s">
        <v>2498</v>
      </c>
    </row>
    <row r="676" spans="1:9" x14ac:dyDescent="0.25">
      <c r="A676" s="1" t="s">
        <v>2476</v>
      </c>
      <c r="B676" s="1" t="s">
        <v>2499</v>
      </c>
      <c r="C676" s="2">
        <v>44524</v>
      </c>
      <c r="D676" s="24">
        <v>386.16</v>
      </c>
      <c r="E676" s="21">
        <v>386.16</v>
      </c>
      <c r="F676" s="1" t="s">
        <v>2493</v>
      </c>
      <c r="G676" s="1" t="s">
        <v>2375</v>
      </c>
      <c r="H676" s="1" t="s">
        <v>2500</v>
      </c>
      <c r="I676" s="1" t="s">
        <v>2501</v>
      </c>
    </row>
    <row r="677" spans="1:9" x14ac:dyDescent="0.25">
      <c r="A677" s="1" t="s">
        <v>2477</v>
      </c>
      <c r="B677" s="1" t="s">
        <v>2502</v>
      </c>
      <c r="C677" s="2">
        <v>44524</v>
      </c>
      <c r="D677" s="24">
        <v>735.12</v>
      </c>
      <c r="E677" s="21">
        <v>735.12</v>
      </c>
      <c r="F677" s="1" t="s">
        <v>2493</v>
      </c>
      <c r="G677" s="1" t="s">
        <v>2375</v>
      </c>
      <c r="H677" s="1" t="s">
        <v>2503</v>
      </c>
      <c r="I677" s="1" t="s">
        <v>2504</v>
      </c>
    </row>
    <row r="678" spans="1:9" x14ac:dyDescent="0.25">
      <c r="A678" s="1" t="s">
        <v>2478</v>
      </c>
      <c r="B678" s="1" t="s">
        <v>2505</v>
      </c>
      <c r="C678" s="2">
        <v>44524</v>
      </c>
      <c r="D678" s="24">
        <v>444</v>
      </c>
      <c r="E678" s="21">
        <v>444</v>
      </c>
      <c r="F678" s="1" t="s">
        <v>2506</v>
      </c>
      <c r="G678" s="1" t="s">
        <v>2507</v>
      </c>
      <c r="H678" s="1" t="s">
        <v>2508</v>
      </c>
      <c r="I678" s="1" t="s">
        <v>2509</v>
      </c>
    </row>
    <row r="679" spans="1:9" x14ac:dyDescent="0.25">
      <c r="A679" s="1" t="s">
        <v>2479</v>
      </c>
      <c r="B679" s="1" t="s">
        <v>2510</v>
      </c>
      <c r="C679" s="2">
        <v>44524</v>
      </c>
      <c r="D679" s="24">
        <v>876</v>
      </c>
      <c r="E679" s="21">
        <v>876</v>
      </c>
      <c r="F679" s="1" t="s">
        <v>2493</v>
      </c>
      <c r="G679" s="1" t="s">
        <v>2375</v>
      </c>
      <c r="H679" s="1" t="s">
        <v>2376</v>
      </c>
      <c r="I679" s="1" t="s">
        <v>2511</v>
      </c>
    </row>
    <row r="680" spans="1:9" x14ac:dyDescent="0.25">
      <c r="A680" s="1" t="s">
        <v>2480</v>
      </c>
      <c r="B680" s="1" t="s">
        <v>2518</v>
      </c>
      <c r="C680" s="2">
        <v>44519</v>
      </c>
      <c r="D680" s="24">
        <v>1245</v>
      </c>
      <c r="E680" s="21">
        <v>1494</v>
      </c>
      <c r="F680" s="1" t="s">
        <v>472</v>
      </c>
      <c r="G680" s="1" t="s">
        <v>1151</v>
      </c>
      <c r="H680" s="22" t="s">
        <v>2519</v>
      </c>
      <c r="I680" s="1" t="s">
        <v>2520</v>
      </c>
    </row>
    <row r="681" spans="1:9" x14ac:dyDescent="0.25">
      <c r="A681" s="1" t="s">
        <v>2481</v>
      </c>
      <c r="B681" s="1" t="s">
        <v>2521</v>
      </c>
      <c r="C681" s="2">
        <v>44522</v>
      </c>
      <c r="D681" s="24">
        <v>1729.19</v>
      </c>
      <c r="E681" s="21">
        <v>2075.0300000000002</v>
      </c>
      <c r="F681" s="1" t="s">
        <v>468</v>
      </c>
      <c r="G681" s="1" t="s">
        <v>1098</v>
      </c>
      <c r="H681" s="27" t="s">
        <v>1108</v>
      </c>
      <c r="I681" s="1" t="s">
        <v>2522</v>
      </c>
    </row>
    <row r="682" spans="1:9" x14ac:dyDescent="0.25">
      <c r="A682" s="1" t="s">
        <v>2482</v>
      </c>
      <c r="B682" s="1" t="s">
        <v>2523</v>
      </c>
      <c r="C682" s="2">
        <v>44518</v>
      </c>
      <c r="D682" s="24">
        <v>745.1</v>
      </c>
      <c r="E682" s="21">
        <v>894.12</v>
      </c>
      <c r="F682" s="1" t="s">
        <v>466</v>
      </c>
      <c r="G682" s="1" t="s">
        <v>1105</v>
      </c>
      <c r="H682" s="22" t="s">
        <v>2524</v>
      </c>
      <c r="I682" s="1" t="s">
        <v>2525</v>
      </c>
    </row>
    <row r="683" spans="1:9" x14ac:dyDescent="0.25">
      <c r="A683" s="1" t="s">
        <v>2483</v>
      </c>
      <c r="B683" s="1" t="s">
        <v>2526</v>
      </c>
      <c r="C683" s="2">
        <v>44529</v>
      </c>
      <c r="D683" s="24">
        <v>3360.83</v>
      </c>
      <c r="E683" s="21">
        <v>4033</v>
      </c>
      <c r="F683" s="1" t="s">
        <v>468</v>
      </c>
      <c r="G683" s="1" t="s">
        <v>1098</v>
      </c>
      <c r="H683" s="27" t="s">
        <v>1108</v>
      </c>
      <c r="I683" s="1" t="s">
        <v>2527</v>
      </c>
    </row>
    <row r="684" spans="1:9" x14ac:dyDescent="0.25">
      <c r="A684" s="1" t="s">
        <v>2484</v>
      </c>
      <c r="B684" s="1" t="s">
        <v>2528</v>
      </c>
      <c r="C684" s="2">
        <v>44529</v>
      </c>
      <c r="D684" s="24">
        <v>2.91</v>
      </c>
      <c r="E684" s="21">
        <v>3.49</v>
      </c>
      <c r="F684" s="1" t="s">
        <v>468</v>
      </c>
      <c r="G684" s="1" t="s">
        <v>1098</v>
      </c>
      <c r="H684" s="27" t="s">
        <v>1108</v>
      </c>
      <c r="I684" s="1" t="s">
        <v>2529</v>
      </c>
    </row>
    <row r="685" spans="1:9" x14ac:dyDescent="0.25">
      <c r="A685" s="1" t="s">
        <v>2485</v>
      </c>
      <c r="B685" s="1" t="s">
        <v>2545</v>
      </c>
      <c r="C685" s="2">
        <v>44525</v>
      </c>
      <c r="D685" s="24">
        <v>49.5</v>
      </c>
      <c r="E685" s="21">
        <v>49.5</v>
      </c>
      <c r="F685" s="1" t="s">
        <v>469</v>
      </c>
      <c r="G685" s="4" t="s">
        <v>1100</v>
      </c>
      <c r="H685" s="4" t="s">
        <v>1100</v>
      </c>
      <c r="I685" s="1" t="s">
        <v>1940</v>
      </c>
    </row>
    <row r="686" spans="1:9" x14ac:dyDescent="0.25">
      <c r="A686" s="1" t="s">
        <v>2486</v>
      </c>
      <c r="B686" s="1" t="s">
        <v>2638</v>
      </c>
      <c r="C686" s="2">
        <v>44538</v>
      </c>
      <c r="D686" s="6">
        <v>780</v>
      </c>
      <c r="E686" s="6">
        <v>780</v>
      </c>
      <c r="F686" s="1" t="s">
        <v>473</v>
      </c>
      <c r="G686" s="1" t="s">
        <v>1109</v>
      </c>
      <c r="H686" s="22" t="s">
        <v>1110</v>
      </c>
      <c r="I686" s="1" t="s">
        <v>2639</v>
      </c>
    </row>
    <row r="687" spans="1:9" x14ac:dyDescent="0.25">
      <c r="A687" s="1" t="s">
        <v>2487</v>
      </c>
      <c r="B687" s="1" t="s">
        <v>2547</v>
      </c>
      <c r="C687" s="2">
        <v>44530</v>
      </c>
      <c r="D687" s="24">
        <v>1973.69</v>
      </c>
      <c r="E687" s="21">
        <v>2368.4299999999998</v>
      </c>
      <c r="F687" s="1" t="s">
        <v>470</v>
      </c>
      <c r="G687" s="1" t="s">
        <v>1098</v>
      </c>
      <c r="H687" s="22" t="s">
        <v>1102</v>
      </c>
      <c r="I687" s="1" t="s">
        <v>2546</v>
      </c>
    </row>
    <row r="688" spans="1:9" x14ac:dyDescent="0.25">
      <c r="A688" s="1" t="s">
        <v>2488</v>
      </c>
      <c r="B688" s="1" t="s">
        <v>2548</v>
      </c>
      <c r="C688" s="2">
        <v>44530</v>
      </c>
      <c r="D688" s="24">
        <v>500</v>
      </c>
      <c r="E688" s="21">
        <v>500</v>
      </c>
      <c r="F688" s="1" t="s">
        <v>1290</v>
      </c>
      <c r="G688" s="1" t="s">
        <v>1291</v>
      </c>
      <c r="H688" s="1" t="s">
        <v>2549</v>
      </c>
      <c r="I688" s="1" t="s">
        <v>2550</v>
      </c>
    </row>
    <row r="689" spans="1:9" x14ac:dyDescent="0.25">
      <c r="A689" s="1" t="s">
        <v>2489</v>
      </c>
      <c r="B689" s="1" t="s">
        <v>2573</v>
      </c>
      <c r="C689" s="2">
        <v>44531</v>
      </c>
      <c r="D689" s="24">
        <v>31</v>
      </c>
      <c r="E689" s="21">
        <v>31</v>
      </c>
      <c r="F689" s="1" t="s">
        <v>469</v>
      </c>
      <c r="G689" s="4" t="s">
        <v>1100</v>
      </c>
      <c r="H689" s="4" t="s">
        <v>1100</v>
      </c>
      <c r="I689" s="1" t="s">
        <v>1940</v>
      </c>
    </row>
    <row r="690" spans="1:9" x14ac:dyDescent="0.25">
      <c r="A690" s="1" t="s">
        <v>2490</v>
      </c>
      <c r="B690" s="1" t="s">
        <v>2574</v>
      </c>
      <c r="C690" s="2">
        <v>44533</v>
      </c>
      <c r="D690" s="24">
        <v>19065.830000000002</v>
      </c>
      <c r="E690" s="21">
        <v>22879</v>
      </c>
      <c r="F690" s="1" t="s">
        <v>468</v>
      </c>
      <c r="G690" s="1" t="s">
        <v>1098</v>
      </c>
      <c r="H690" s="22" t="s">
        <v>1189</v>
      </c>
      <c r="I690" s="1" t="s">
        <v>2575</v>
      </c>
    </row>
    <row r="691" spans="1:9" x14ac:dyDescent="0.25">
      <c r="A691" s="1" t="s">
        <v>2491</v>
      </c>
      <c r="B691" s="1" t="s">
        <v>2576</v>
      </c>
      <c r="C691" s="2">
        <v>44533</v>
      </c>
      <c r="D691" s="24">
        <v>13390.83</v>
      </c>
      <c r="E691" s="21">
        <v>16069</v>
      </c>
      <c r="F691" s="1" t="s">
        <v>468</v>
      </c>
      <c r="G691" s="1" t="s">
        <v>1098</v>
      </c>
      <c r="H691" s="22" t="s">
        <v>1189</v>
      </c>
      <c r="I691" s="1" t="s">
        <v>2577</v>
      </c>
    </row>
    <row r="692" spans="1:9" x14ac:dyDescent="0.25">
      <c r="A692" s="1" t="s">
        <v>2530</v>
      </c>
      <c r="B692" s="1" t="s">
        <v>2578</v>
      </c>
      <c r="C692" s="2">
        <v>44533</v>
      </c>
      <c r="D692" s="24">
        <v>2909.63</v>
      </c>
      <c r="E692" s="21">
        <v>3491.56</v>
      </c>
      <c r="F692" s="1" t="s">
        <v>468</v>
      </c>
      <c r="G692" s="1" t="s">
        <v>1098</v>
      </c>
      <c r="H692" s="22" t="s">
        <v>1189</v>
      </c>
      <c r="I692" s="1" t="s">
        <v>2579</v>
      </c>
    </row>
    <row r="693" spans="1:9" x14ac:dyDescent="0.25">
      <c r="A693" s="1" t="s">
        <v>2531</v>
      </c>
      <c r="B693" s="1" t="s">
        <v>2580</v>
      </c>
      <c r="C693" s="2">
        <v>44533</v>
      </c>
      <c r="D693" s="24">
        <v>160</v>
      </c>
      <c r="E693" s="21">
        <v>192</v>
      </c>
      <c r="F693" s="1" t="s">
        <v>468</v>
      </c>
      <c r="G693" s="1" t="s">
        <v>1098</v>
      </c>
      <c r="H693" s="22" t="s">
        <v>1189</v>
      </c>
      <c r="I693" s="1" t="s">
        <v>2581</v>
      </c>
    </row>
    <row r="694" spans="1:9" x14ac:dyDescent="0.25">
      <c r="A694" s="1" t="s">
        <v>2532</v>
      </c>
      <c r="B694" s="1" t="s">
        <v>2582</v>
      </c>
      <c r="C694" s="2">
        <v>44533</v>
      </c>
      <c r="D694" s="24">
        <v>112</v>
      </c>
      <c r="E694" s="21">
        <v>134.4</v>
      </c>
      <c r="F694" s="1" t="s">
        <v>468</v>
      </c>
      <c r="G694" s="1" t="s">
        <v>1098</v>
      </c>
      <c r="H694" s="22" t="s">
        <v>1189</v>
      </c>
      <c r="I694" s="1" t="s">
        <v>2583</v>
      </c>
    </row>
    <row r="695" spans="1:9" x14ac:dyDescent="0.25">
      <c r="A695" s="1" t="s">
        <v>2533</v>
      </c>
      <c r="B695" s="1" t="s">
        <v>2584</v>
      </c>
      <c r="C695" s="2">
        <v>44533</v>
      </c>
      <c r="D695" s="24">
        <v>24</v>
      </c>
      <c r="E695" s="21">
        <v>28.8</v>
      </c>
      <c r="F695" s="1" t="s">
        <v>468</v>
      </c>
      <c r="G695" s="1" t="s">
        <v>1098</v>
      </c>
      <c r="H695" s="22" t="s">
        <v>1189</v>
      </c>
      <c r="I695" s="1" t="s">
        <v>2585</v>
      </c>
    </row>
    <row r="696" spans="1:9" x14ac:dyDescent="0.25">
      <c r="A696" s="1" t="s">
        <v>2534</v>
      </c>
      <c r="B696" s="1" t="s">
        <v>2586</v>
      </c>
      <c r="C696" s="2">
        <v>44533</v>
      </c>
      <c r="D696" s="24">
        <v>700</v>
      </c>
      <c r="E696" s="21">
        <v>840</v>
      </c>
      <c r="F696" s="1" t="s">
        <v>468</v>
      </c>
      <c r="G696" s="1" t="s">
        <v>1098</v>
      </c>
      <c r="H696" s="22" t="s">
        <v>1189</v>
      </c>
      <c r="I696" s="1" t="s">
        <v>2587</v>
      </c>
    </row>
    <row r="697" spans="1:9" x14ac:dyDescent="0.25">
      <c r="A697" s="1" t="s">
        <v>2535</v>
      </c>
      <c r="B697" s="1" t="s">
        <v>2588</v>
      </c>
      <c r="C697" s="2">
        <v>44533</v>
      </c>
      <c r="D697" s="24">
        <v>18994</v>
      </c>
      <c r="E697" s="21">
        <v>22792.799999999999</v>
      </c>
      <c r="F697" s="1" t="s">
        <v>468</v>
      </c>
      <c r="G697" s="1" t="s">
        <v>1098</v>
      </c>
      <c r="H697" s="22" t="s">
        <v>1189</v>
      </c>
      <c r="I697" s="1" t="s">
        <v>2589</v>
      </c>
    </row>
    <row r="698" spans="1:9" x14ac:dyDescent="0.25">
      <c r="A698" s="1" t="s">
        <v>2536</v>
      </c>
      <c r="B698" s="1" t="s">
        <v>2590</v>
      </c>
      <c r="C698" s="2">
        <v>44533</v>
      </c>
      <c r="D698" s="24">
        <v>165.96</v>
      </c>
      <c r="E698" s="21">
        <v>199.15</v>
      </c>
      <c r="F698" s="1" t="s">
        <v>466</v>
      </c>
      <c r="G698" s="1" t="s">
        <v>1105</v>
      </c>
      <c r="H698" s="22" t="s">
        <v>1106</v>
      </c>
      <c r="I698" s="1" t="s">
        <v>2591</v>
      </c>
    </row>
    <row r="699" spans="1:9" x14ac:dyDescent="0.25">
      <c r="A699" s="1" t="s">
        <v>2537</v>
      </c>
      <c r="B699" s="1" t="s">
        <v>2640</v>
      </c>
      <c r="C699" s="2">
        <v>44538</v>
      </c>
      <c r="D699" s="24">
        <v>126.5</v>
      </c>
      <c r="E699" s="21">
        <v>126.5</v>
      </c>
      <c r="F699" s="1" t="s">
        <v>469</v>
      </c>
      <c r="G699" s="4" t="s">
        <v>1100</v>
      </c>
      <c r="H699" s="4" t="s">
        <v>1100</v>
      </c>
      <c r="I699" s="1" t="s">
        <v>1940</v>
      </c>
    </row>
    <row r="700" spans="1:9" x14ac:dyDescent="0.25">
      <c r="A700" s="1" t="s">
        <v>2538</v>
      </c>
      <c r="B700" s="1" t="s">
        <v>2592</v>
      </c>
      <c r="C700" s="2">
        <v>44533</v>
      </c>
      <c r="D700" s="24">
        <v>146.96</v>
      </c>
      <c r="E700" s="21">
        <v>176.35</v>
      </c>
      <c r="F700" s="1" t="s">
        <v>472</v>
      </c>
      <c r="G700" s="1" t="s">
        <v>1151</v>
      </c>
      <c r="H700" s="1" t="s">
        <v>2519</v>
      </c>
      <c r="I700" s="1" t="s">
        <v>2107</v>
      </c>
    </row>
    <row r="701" spans="1:9" x14ac:dyDescent="0.25">
      <c r="A701" s="1" t="s">
        <v>2539</v>
      </c>
      <c r="B701" s="1" t="s">
        <v>2593</v>
      </c>
      <c r="C701" s="2">
        <v>44533</v>
      </c>
      <c r="D701" s="24">
        <v>70</v>
      </c>
      <c r="E701" s="21">
        <v>84</v>
      </c>
      <c r="F701" s="1" t="s">
        <v>470</v>
      </c>
      <c r="G701" s="1" t="s">
        <v>1101</v>
      </c>
      <c r="H701" s="1" t="s">
        <v>1102</v>
      </c>
      <c r="I701" s="1" t="s">
        <v>982</v>
      </c>
    </row>
    <row r="702" spans="1:9" x14ac:dyDescent="0.25">
      <c r="A702" s="1" t="s">
        <v>2540</v>
      </c>
      <c r="B702" s="1" t="s">
        <v>694</v>
      </c>
      <c r="C702" s="2">
        <v>44533</v>
      </c>
      <c r="D702" s="24">
        <v>1033.8</v>
      </c>
      <c r="E702" s="21">
        <v>1240.56</v>
      </c>
      <c r="F702" s="1" t="s">
        <v>2222</v>
      </c>
      <c r="G702" s="1" t="s">
        <v>2223</v>
      </c>
      <c r="H702" s="1" t="s">
        <v>2594</v>
      </c>
      <c r="I702" s="1" t="s">
        <v>2595</v>
      </c>
    </row>
    <row r="703" spans="1:9" x14ac:dyDescent="0.25">
      <c r="A703" s="1" t="s">
        <v>2541</v>
      </c>
      <c r="B703" s="1" t="s">
        <v>2596</v>
      </c>
      <c r="C703" s="2">
        <v>44533</v>
      </c>
      <c r="D703" s="24">
        <v>896</v>
      </c>
      <c r="E703" s="21">
        <v>1075.2</v>
      </c>
      <c r="F703" s="1" t="s">
        <v>2597</v>
      </c>
      <c r="G703" s="1" t="s">
        <v>2598</v>
      </c>
      <c r="H703" s="1" t="s">
        <v>1108</v>
      </c>
      <c r="I703" s="1" t="s">
        <v>2599</v>
      </c>
    </row>
    <row r="704" spans="1:9" x14ac:dyDescent="0.25">
      <c r="A704" s="1" t="s">
        <v>2542</v>
      </c>
      <c r="B704" s="1" t="s">
        <v>2568</v>
      </c>
      <c r="C704" s="2">
        <v>44536</v>
      </c>
      <c r="D704" s="24">
        <v>264</v>
      </c>
      <c r="E704" s="21">
        <v>316.8</v>
      </c>
      <c r="F704" s="1" t="s">
        <v>488</v>
      </c>
      <c r="G704" s="1" t="s">
        <v>1137</v>
      </c>
      <c r="H704" s="22" t="s">
        <v>1138</v>
      </c>
      <c r="I704" s="1" t="s">
        <v>2569</v>
      </c>
    </row>
    <row r="705" spans="1:9" x14ac:dyDescent="0.25">
      <c r="A705" s="1" t="s">
        <v>2543</v>
      </c>
      <c r="B705" s="1" t="s">
        <v>2565</v>
      </c>
      <c r="C705" s="2">
        <v>44533</v>
      </c>
      <c r="D705" s="24">
        <v>794.37</v>
      </c>
      <c r="E705" s="21">
        <v>953.24</v>
      </c>
      <c r="F705" s="1" t="s">
        <v>468</v>
      </c>
      <c r="G705" s="1" t="s">
        <v>1098</v>
      </c>
      <c r="H705" s="27" t="s">
        <v>2566</v>
      </c>
      <c r="I705" s="1" t="s">
        <v>2567</v>
      </c>
    </row>
    <row r="706" spans="1:9" x14ac:dyDescent="0.25">
      <c r="A706" s="1" t="s">
        <v>2544</v>
      </c>
      <c r="B706" s="1" t="s">
        <v>2641</v>
      </c>
      <c r="C706" s="2">
        <v>44537</v>
      </c>
      <c r="D706" s="24">
        <f>1680.38-1611.67</f>
        <v>68.710000000000036</v>
      </c>
      <c r="E706" s="21">
        <f>82.46</f>
        <v>82.46</v>
      </c>
      <c r="F706" s="1" t="s">
        <v>504</v>
      </c>
      <c r="G706" s="22" t="s">
        <v>1107</v>
      </c>
      <c r="H706" s="22" t="s">
        <v>1108</v>
      </c>
      <c r="I706" s="1" t="s">
        <v>2414</v>
      </c>
    </row>
    <row r="707" spans="1:9" x14ac:dyDescent="0.25">
      <c r="A707" s="1" t="s">
        <v>2607</v>
      </c>
      <c r="B707" s="1" t="s">
        <v>2642</v>
      </c>
      <c r="C707" s="2">
        <v>44539</v>
      </c>
      <c r="D707" s="24">
        <v>247.04</v>
      </c>
      <c r="E707" s="21">
        <v>296.45</v>
      </c>
      <c r="F707" s="1" t="s">
        <v>468</v>
      </c>
      <c r="G707" s="1" t="s">
        <v>1098</v>
      </c>
      <c r="H707" s="27" t="s">
        <v>1108</v>
      </c>
      <c r="I707" s="1" t="s">
        <v>2643</v>
      </c>
    </row>
    <row r="708" spans="1:9" x14ac:dyDescent="0.25">
      <c r="A708" s="1" t="s">
        <v>2608</v>
      </c>
      <c r="B708" s="1" t="s">
        <v>2644</v>
      </c>
      <c r="C708" s="2">
        <v>44539</v>
      </c>
      <c r="D708" s="24">
        <v>29.92</v>
      </c>
      <c r="E708" s="21">
        <v>29.92</v>
      </c>
      <c r="F708" s="1" t="s">
        <v>468</v>
      </c>
      <c r="G708" s="1" t="s">
        <v>1098</v>
      </c>
      <c r="H708" s="27" t="s">
        <v>1108</v>
      </c>
      <c r="I708" s="22" t="s">
        <v>2645</v>
      </c>
    </row>
    <row r="709" spans="1:9" x14ac:dyDescent="0.25">
      <c r="A709" s="1" t="s">
        <v>2609</v>
      </c>
      <c r="B709" s="1" t="s">
        <v>2646</v>
      </c>
      <c r="C709" s="2">
        <v>44539</v>
      </c>
      <c r="D709" s="24">
        <v>1702.05</v>
      </c>
      <c r="E709" s="21">
        <v>2042.46</v>
      </c>
      <c r="F709" s="1" t="s">
        <v>468</v>
      </c>
      <c r="G709" s="1" t="s">
        <v>1098</v>
      </c>
      <c r="H709" s="27" t="s">
        <v>1108</v>
      </c>
      <c r="I709" s="1" t="s">
        <v>2647</v>
      </c>
    </row>
    <row r="710" spans="1:9" x14ac:dyDescent="0.25">
      <c r="A710" s="1" t="s">
        <v>2610</v>
      </c>
      <c r="B710" s="1" t="s">
        <v>2633</v>
      </c>
      <c r="C710" s="2">
        <v>44525</v>
      </c>
      <c r="D710" s="24">
        <v>1500</v>
      </c>
      <c r="E710" s="21">
        <v>1800</v>
      </c>
      <c r="F710" s="1" t="s">
        <v>2634</v>
      </c>
      <c r="G710" s="1" t="s">
        <v>2635</v>
      </c>
      <c r="H710" s="1" t="s">
        <v>2636</v>
      </c>
      <c r="I710" s="1" t="s">
        <v>2637</v>
      </c>
    </row>
    <row r="711" spans="1:9" x14ac:dyDescent="0.25">
      <c r="A711" s="1" t="s">
        <v>2611</v>
      </c>
      <c r="B711" s="1" t="s">
        <v>2648</v>
      </c>
      <c r="C711" s="2">
        <v>44540</v>
      </c>
      <c r="D711" s="24">
        <v>8</v>
      </c>
      <c r="E711" s="21">
        <v>9.6</v>
      </c>
      <c r="F711" s="1" t="s">
        <v>470</v>
      </c>
      <c r="G711" s="1" t="s">
        <v>1101</v>
      </c>
      <c r="H711" s="1" t="s">
        <v>1102</v>
      </c>
      <c r="I711" s="1" t="s">
        <v>982</v>
      </c>
    </row>
    <row r="712" spans="1:9" x14ac:dyDescent="0.25">
      <c r="A712" s="1" t="s">
        <v>2612</v>
      </c>
      <c r="B712" s="1" t="s">
        <v>2649</v>
      </c>
      <c r="C712" s="2">
        <v>44540</v>
      </c>
      <c r="D712" s="24">
        <v>568</v>
      </c>
      <c r="E712" s="21">
        <v>681.59</v>
      </c>
      <c r="F712" s="1" t="s">
        <v>2451</v>
      </c>
      <c r="G712" s="1" t="s">
        <v>2452</v>
      </c>
      <c r="H712" s="22" t="s">
        <v>1102</v>
      </c>
      <c r="I712" s="1" t="s">
        <v>2650</v>
      </c>
    </row>
    <row r="713" spans="1:9" x14ac:dyDescent="0.25">
      <c r="A713" s="1" t="s">
        <v>2613</v>
      </c>
      <c r="B713" s="1" t="s">
        <v>2651</v>
      </c>
      <c r="C713" s="2">
        <v>44540</v>
      </c>
      <c r="D713" s="24">
        <v>142</v>
      </c>
      <c r="E713" s="21">
        <v>170.41</v>
      </c>
      <c r="F713" s="1" t="s">
        <v>2451</v>
      </c>
      <c r="G713" s="1" t="s">
        <v>2452</v>
      </c>
      <c r="H713" s="22" t="s">
        <v>1102</v>
      </c>
      <c r="I713" s="1" t="s">
        <v>2652</v>
      </c>
    </row>
    <row r="714" spans="1:9" x14ac:dyDescent="0.25">
      <c r="A714" s="1" t="s">
        <v>2614</v>
      </c>
      <c r="B714" s="1" t="s">
        <v>2653</v>
      </c>
      <c r="C714" s="2">
        <v>44540</v>
      </c>
      <c r="D714" s="24">
        <v>426</v>
      </c>
      <c r="E714" s="21">
        <v>511.19</v>
      </c>
      <c r="F714" s="1" t="s">
        <v>2451</v>
      </c>
      <c r="G714" s="1" t="s">
        <v>2452</v>
      </c>
      <c r="H714" s="22" t="s">
        <v>1102</v>
      </c>
      <c r="I714" s="1" t="s">
        <v>2654</v>
      </c>
    </row>
    <row r="715" spans="1:9" x14ac:dyDescent="0.25">
      <c r="A715" s="1" t="s">
        <v>2615</v>
      </c>
      <c r="B715" s="1" t="s">
        <v>2655</v>
      </c>
      <c r="C715" s="2">
        <v>44540</v>
      </c>
      <c r="D715" s="24">
        <v>284</v>
      </c>
      <c r="E715" s="21">
        <v>340.81</v>
      </c>
      <c r="F715" s="1" t="s">
        <v>2451</v>
      </c>
      <c r="G715" s="1" t="s">
        <v>2452</v>
      </c>
      <c r="H715" s="22" t="s">
        <v>1102</v>
      </c>
      <c r="I715" s="1" t="s">
        <v>2656</v>
      </c>
    </row>
    <row r="716" spans="1:9" x14ac:dyDescent="0.25">
      <c r="A716" s="1" t="s">
        <v>2616</v>
      </c>
      <c r="B716" s="1" t="s">
        <v>2657</v>
      </c>
      <c r="C716" s="2">
        <v>44540</v>
      </c>
      <c r="D716" s="24">
        <v>426</v>
      </c>
      <c r="E716" s="21">
        <v>511.19</v>
      </c>
      <c r="F716" s="1" t="s">
        <v>2451</v>
      </c>
      <c r="G716" s="1" t="s">
        <v>2452</v>
      </c>
      <c r="H716" s="22" t="s">
        <v>1102</v>
      </c>
      <c r="I716" s="1" t="s">
        <v>2658</v>
      </c>
    </row>
    <row r="717" spans="1:9" x14ac:dyDescent="0.25">
      <c r="A717" s="1" t="s">
        <v>2617</v>
      </c>
      <c r="B717" s="1" t="s">
        <v>2659</v>
      </c>
      <c r="C717" s="2">
        <v>44540</v>
      </c>
      <c r="D717" s="24">
        <v>923</v>
      </c>
      <c r="E717" s="21">
        <v>1107.5899999999999</v>
      </c>
      <c r="F717" s="1" t="s">
        <v>2451</v>
      </c>
      <c r="G717" s="1" t="s">
        <v>2452</v>
      </c>
      <c r="H717" s="22" t="s">
        <v>1102</v>
      </c>
      <c r="I717" s="1" t="s">
        <v>2660</v>
      </c>
    </row>
    <row r="718" spans="1:9" x14ac:dyDescent="0.25">
      <c r="A718" s="1" t="s">
        <v>2618</v>
      </c>
      <c r="B718" s="1" t="s">
        <v>2661</v>
      </c>
      <c r="C718" s="2">
        <v>44540</v>
      </c>
      <c r="D718" s="24">
        <v>923</v>
      </c>
      <c r="E718" s="21">
        <v>1107.5899999999999</v>
      </c>
      <c r="F718" s="1" t="s">
        <v>2451</v>
      </c>
      <c r="G718" s="1" t="s">
        <v>2452</v>
      </c>
      <c r="H718" s="22" t="s">
        <v>1102</v>
      </c>
      <c r="I718" s="1" t="s">
        <v>2662</v>
      </c>
    </row>
    <row r="719" spans="1:9" x14ac:dyDescent="0.25">
      <c r="A719" s="1" t="s">
        <v>2619</v>
      </c>
      <c r="B719" s="1" t="s">
        <v>2663</v>
      </c>
      <c r="C719" s="2">
        <v>44540</v>
      </c>
      <c r="D719" s="24">
        <v>1207</v>
      </c>
      <c r="E719" s="21">
        <v>1448.41</v>
      </c>
      <c r="F719" s="1" t="s">
        <v>2451</v>
      </c>
      <c r="G719" s="1" t="s">
        <v>2452</v>
      </c>
      <c r="H719" s="22" t="s">
        <v>1102</v>
      </c>
      <c r="I719" s="1" t="s">
        <v>2664</v>
      </c>
    </row>
    <row r="720" spans="1:9" x14ac:dyDescent="0.25">
      <c r="A720" s="1" t="s">
        <v>2620</v>
      </c>
      <c r="B720" s="1" t="s">
        <v>2665</v>
      </c>
      <c r="C720" s="2">
        <v>44540</v>
      </c>
      <c r="D720" s="24">
        <v>1207</v>
      </c>
      <c r="E720" s="21">
        <v>1448.41</v>
      </c>
      <c r="F720" s="1" t="s">
        <v>2451</v>
      </c>
      <c r="G720" s="1" t="s">
        <v>2452</v>
      </c>
      <c r="H720" s="22" t="s">
        <v>1102</v>
      </c>
      <c r="I720" s="1" t="s">
        <v>2666</v>
      </c>
    </row>
    <row r="721" spans="1:10" x14ac:dyDescent="0.25">
      <c r="A721" s="1" t="s">
        <v>2621</v>
      </c>
      <c r="B721" s="1" t="s">
        <v>2667</v>
      </c>
      <c r="C721" s="2">
        <v>44540</v>
      </c>
      <c r="D721" s="24">
        <v>994</v>
      </c>
      <c r="E721" s="21">
        <v>1192.81</v>
      </c>
      <c r="F721" s="1" t="s">
        <v>2451</v>
      </c>
      <c r="G721" s="1" t="s">
        <v>2452</v>
      </c>
      <c r="H721" s="22" t="s">
        <v>1102</v>
      </c>
      <c r="I721" s="1" t="s">
        <v>2668</v>
      </c>
    </row>
    <row r="722" spans="1:10" x14ac:dyDescent="0.25">
      <c r="A722" s="1" t="s">
        <v>2622</v>
      </c>
      <c r="B722" s="1" t="s">
        <v>2669</v>
      </c>
      <c r="C722" s="2">
        <v>44540</v>
      </c>
      <c r="D722" s="24">
        <v>35.5</v>
      </c>
      <c r="E722" s="21">
        <v>42.59</v>
      </c>
      <c r="F722" s="1" t="s">
        <v>2451</v>
      </c>
      <c r="G722" s="1" t="s">
        <v>2452</v>
      </c>
      <c r="H722" s="22" t="s">
        <v>1102</v>
      </c>
      <c r="I722" s="1" t="s">
        <v>2670</v>
      </c>
    </row>
    <row r="723" spans="1:10" x14ac:dyDescent="0.25">
      <c r="A723" s="1" t="s">
        <v>2623</v>
      </c>
      <c r="B723" s="1" t="s">
        <v>2671</v>
      </c>
      <c r="C723" s="2">
        <v>44540</v>
      </c>
      <c r="D723" s="24">
        <v>426</v>
      </c>
      <c r="E723" s="21">
        <v>511.2</v>
      </c>
      <c r="F723" s="1" t="s">
        <v>2451</v>
      </c>
      <c r="G723" s="1" t="s">
        <v>2452</v>
      </c>
      <c r="H723" s="22" t="s">
        <v>1102</v>
      </c>
      <c r="I723" s="1" t="s">
        <v>2672</v>
      </c>
    </row>
    <row r="724" spans="1:10" x14ac:dyDescent="0.25">
      <c r="A724" s="1" t="s">
        <v>2624</v>
      </c>
      <c r="B724" s="1" t="s">
        <v>2673</v>
      </c>
      <c r="C724" s="2">
        <v>44540</v>
      </c>
      <c r="D724" s="24">
        <v>284</v>
      </c>
      <c r="E724" s="21">
        <v>340.81</v>
      </c>
      <c r="F724" s="1" t="s">
        <v>2451</v>
      </c>
      <c r="G724" s="1" t="s">
        <v>2452</v>
      </c>
      <c r="H724" s="22" t="s">
        <v>1102</v>
      </c>
      <c r="I724" s="1" t="s">
        <v>2674</v>
      </c>
    </row>
    <row r="725" spans="1:10" x14ac:dyDescent="0.25">
      <c r="A725" s="1" t="s">
        <v>2625</v>
      </c>
      <c r="B725" s="1" t="s">
        <v>2675</v>
      </c>
      <c r="C725" s="2">
        <v>44540</v>
      </c>
      <c r="D725" s="24">
        <v>1136</v>
      </c>
      <c r="E725" s="21">
        <v>1363.19</v>
      </c>
      <c r="F725" s="1" t="s">
        <v>2451</v>
      </c>
      <c r="G725" s="1" t="s">
        <v>2452</v>
      </c>
      <c r="H725" s="22" t="s">
        <v>1102</v>
      </c>
      <c r="I725" s="1" t="s">
        <v>2676</v>
      </c>
    </row>
    <row r="726" spans="1:10" x14ac:dyDescent="0.25">
      <c r="A726" s="1" t="s">
        <v>2626</v>
      </c>
      <c r="B726" s="1" t="s">
        <v>2677</v>
      </c>
      <c r="C726" s="2">
        <v>44540</v>
      </c>
      <c r="D726" s="24">
        <v>781</v>
      </c>
      <c r="E726" s="21">
        <v>937.19</v>
      </c>
      <c r="F726" s="1" t="s">
        <v>2451</v>
      </c>
      <c r="G726" s="1" t="s">
        <v>2452</v>
      </c>
      <c r="H726" s="22" t="s">
        <v>1102</v>
      </c>
      <c r="I726" s="1" t="s">
        <v>2678</v>
      </c>
    </row>
    <row r="727" spans="1:10" x14ac:dyDescent="0.25">
      <c r="A727" s="1" t="s">
        <v>2627</v>
      </c>
      <c r="B727" s="1" t="s">
        <v>2679</v>
      </c>
      <c r="C727" s="2">
        <v>44540</v>
      </c>
      <c r="D727" s="24">
        <v>890.12</v>
      </c>
      <c r="E727" s="21">
        <v>1068.1400000000001</v>
      </c>
      <c r="F727" s="1" t="s">
        <v>2451</v>
      </c>
      <c r="G727" s="1" t="s">
        <v>2452</v>
      </c>
      <c r="H727" s="22" t="s">
        <v>1102</v>
      </c>
      <c r="I727" s="1" t="s">
        <v>2680</v>
      </c>
    </row>
    <row r="728" spans="1:10" x14ac:dyDescent="0.25">
      <c r="A728" s="1" t="s">
        <v>2628</v>
      </c>
      <c r="B728" s="1" t="s">
        <v>2681</v>
      </c>
      <c r="C728" s="2">
        <v>44540</v>
      </c>
      <c r="D728" s="24">
        <v>781</v>
      </c>
      <c r="E728" s="21">
        <v>937.19</v>
      </c>
      <c r="F728" s="1" t="s">
        <v>2451</v>
      </c>
      <c r="G728" s="1" t="s">
        <v>2452</v>
      </c>
      <c r="H728" s="22" t="s">
        <v>1102</v>
      </c>
      <c r="I728" s="1" t="s">
        <v>2682</v>
      </c>
    </row>
    <row r="729" spans="1:10" x14ac:dyDescent="0.25">
      <c r="A729" s="1" t="s">
        <v>2629</v>
      </c>
      <c r="B729" s="1" t="s">
        <v>2683</v>
      </c>
      <c r="C729" s="2">
        <v>44540</v>
      </c>
      <c r="D729" s="24">
        <v>781</v>
      </c>
      <c r="E729" s="21">
        <v>937.19</v>
      </c>
      <c r="F729" s="1" t="s">
        <v>2451</v>
      </c>
      <c r="G729" s="1" t="s">
        <v>2452</v>
      </c>
      <c r="H729" s="22" t="s">
        <v>1102</v>
      </c>
      <c r="I729" s="1" t="s">
        <v>2684</v>
      </c>
    </row>
    <row r="730" spans="1:10" x14ac:dyDescent="0.25">
      <c r="A730" s="1" t="s">
        <v>2630</v>
      </c>
      <c r="B730" s="1" t="s">
        <v>2685</v>
      </c>
      <c r="C730" s="2">
        <v>44540</v>
      </c>
      <c r="D730" s="24">
        <v>923</v>
      </c>
      <c r="E730" s="21">
        <v>1107.5899999999999</v>
      </c>
      <c r="F730" s="1" t="s">
        <v>2451</v>
      </c>
      <c r="G730" s="1" t="s">
        <v>2452</v>
      </c>
      <c r="H730" s="22" t="s">
        <v>1102</v>
      </c>
      <c r="I730" s="1" t="s">
        <v>2686</v>
      </c>
    </row>
    <row r="731" spans="1:10" x14ac:dyDescent="0.25">
      <c r="A731" s="1" t="s">
        <v>2631</v>
      </c>
      <c r="B731" s="1" t="s">
        <v>2687</v>
      </c>
      <c r="C731" s="2">
        <v>44540</v>
      </c>
      <c r="D731" s="24">
        <v>1590</v>
      </c>
      <c r="E731" s="21">
        <v>1908</v>
      </c>
      <c r="F731" s="1" t="s">
        <v>2451</v>
      </c>
      <c r="G731" s="1" t="s">
        <v>2452</v>
      </c>
      <c r="H731" s="22" t="s">
        <v>1102</v>
      </c>
      <c r="I731" s="1" t="s">
        <v>2688</v>
      </c>
    </row>
    <row r="732" spans="1:10" x14ac:dyDescent="0.25">
      <c r="A732" s="1" t="s">
        <v>2632</v>
      </c>
      <c r="B732" s="1" t="s">
        <v>2689</v>
      </c>
      <c r="C732" s="2">
        <v>44540</v>
      </c>
      <c r="D732" s="24">
        <v>142</v>
      </c>
      <c r="E732" s="21">
        <v>170.41</v>
      </c>
      <c r="F732" s="1" t="s">
        <v>2451</v>
      </c>
      <c r="G732" s="1" t="s">
        <v>2452</v>
      </c>
      <c r="H732" s="22" t="s">
        <v>1102</v>
      </c>
      <c r="I732" s="1" t="s">
        <v>2690</v>
      </c>
    </row>
    <row r="733" spans="1:10" x14ac:dyDescent="0.25">
      <c r="A733" s="1" t="s">
        <v>2705</v>
      </c>
      <c r="B733" s="1" t="s">
        <v>2733</v>
      </c>
      <c r="C733" s="2">
        <v>44544</v>
      </c>
      <c r="D733" s="24">
        <v>5581.93</v>
      </c>
      <c r="E733" s="21">
        <v>6698.32</v>
      </c>
      <c r="F733" s="1" t="s">
        <v>475</v>
      </c>
      <c r="G733" s="1" t="s">
        <v>1115</v>
      </c>
      <c r="H733" s="1" t="s">
        <v>1116</v>
      </c>
      <c r="I733" s="1" t="s">
        <v>2734</v>
      </c>
      <c r="J733" s="1" t="s">
        <v>2466</v>
      </c>
    </row>
    <row r="734" spans="1:10" x14ac:dyDescent="0.25">
      <c r="A734" s="1" t="s">
        <v>2706</v>
      </c>
      <c r="B734" s="1" t="s">
        <v>2735</v>
      </c>
      <c r="C734" s="2">
        <v>44545</v>
      </c>
      <c r="D734" s="24">
        <v>655.53</v>
      </c>
      <c r="E734" s="21">
        <v>786.64</v>
      </c>
      <c r="F734" s="1" t="s">
        <v>468</v>
      </c>
      <c r="G734" s="1" t="s">
        <v>1098</v>
      </c>
      <c r="H734" s="22" t="s">
        <v>1189</v>
      </c>
      <c r="I734" s="1" t="s">
        <v>2736</v>
      </c>
    </row>
    <row r="735" spans="1:10" x14ac:dyDescent="0.25">
      <c r="A735" s="1" t="s">
        <v>2707</v>
      </c>
      <c r="B735" s="1" t="s">
        <v>2737</v>
      </c>
      <c r="C735" s="2">
        <v>44545</v>
      </c>
      <c r="D735" s="24">
        <v>2502.46</v>
      </c>
      <c r="E735" s="21">
        <v>2502.46</v>
      </c>
      <c r="F735" s="1" t="s">
        <v>468</v>
      </c>
      <c r="G735" s="1" t="s">
        <v>1098</v>
      </c>
      <c r="H735" s="22" t="s">
        <v>1108</v>
      </c>
      <c r="I735" s="1" t="s">
        <v>2738</v>
      </c>
    </row>
    <row r="736" spans="1:10" x14ac:dyDescent="0.25">
      <c r="A736" s="1" t="s">
        <v>2708</v>
      </c>
      <c r="B736" s="1" t="s">
        <v>2739</v>
      </c>
      <c r="C736" s="2">
        <v>44545</v>
      </c>
      <c r="D736" s="24">
        <v>184.77</v>
      </c>
      <c r="E736" s="21">
        <v>221.72</v>
      </c>
      <c r="F736" s="1" t="s">
        <v>468</v>
      </c>
      <c r="G736" s="1" t="s">
        <v>1098</v>
      </c>
      <c r="H736" s="22" t="s">
        <v>1108</v>
      </c>
      <c r="I736" s="1" t="s">
        <v>2740</v>
      </c>
    </row>
    <row r="737" spans="1:9" x14ac:dyDescent="0.25">
      <c r="A737" s="1" t="s">
        <v>2709</v>
      </c>
      <c r="B737" s="1" t="s">
        <v>2741</v>
      </c>
      <c r="C737" s="2">
        <v>44546</v>
      </c>
      <c r="D737" s="24">
        <v>1215</v>
      </c>
      <c r="E737" s="21">
        <v>1458</v>
      </c>
      <c r="F737" s="1" t="s">
        <v>468</v>
      </c>
      <c r="G737" s="1" t="s">
        <v>1098</v>
      </c>
      <c r="H737" s="22" t="s">
        <v>1108</v>
      </c>
      <c r="I737" s="1" t="s">
        <v>2742</v>
      </c>
    </row>
    <row r="738" spans="1:9" x14ac:dyDescent="0.25">
      <c r="A738" s="1" t="s">
        <v>2710</v>
      </c>
      <c r="B738" s="1" t="s">
        <v>2743</v>
      </c>
      <c r="C738" s="2">
        <v>44546</v>
      </c>
      <c r="D738" s="24">
        <v>40056.39</v>
      </c>
      <c r="E738" s="21">
        <v>48067.67</v>
      </c>
      <c r="F738" s="1" t="s">
        <v>2744</v>
      </c>
      <c r="G738" s="1" t="s">
        <v>2745</v>
      </c>
      <c r="H738" s="22" t="s">
        <v>1102</v>
      </c>
      <c r="I738" s="1" t="s">
        <v>2746</v>
      </c>
    </row>
    <row r="739" spans="1:9" x14ac:dyDescent="0.25">
      <c r="A739" s="1" t="s">
        <v>2711</v>
      </c>
      <c r="B739" s="1" t="s">
        <v>2747</v>
      </c>
      <c r="C739" s="2">
        <v>44546</v>
      </c>
      <c r="D739" s="24">
        <v>162.6</v>
      </c>
      <c r="E739" s="21">
        <v>195.12</v>
      </c>
      <c r="F739" s="1" t="s">
        <v>468</v>
      </c>
      <c r="G739" s="1" t="s">
        <v>1098</v>
      </c>
      <c r="H739" s="22" t="s">
        <v>1108</v>
      </c>
      <c r="I739" s="1" t="s">
        <v>2748</v>
      </c>
    </row>
    <row r="740" spans="1:9" x14ac:dyDescent="0.25">
      <c r="A740" s="1" t="s">
        <v>2712</v>
      </c>
      <c r="B740" s="1" t="s">
        <v>2749</v>
      </c>
      <c r="C740" s="2">
        <v>44546</v>
      </c>
      <c r="D740" s="29">
        <f>-7.67</f>
        <v>-7.67</v>
      </c>
      <c r="E740" s="29">
        <f>-9.21</f>
        <v>-9.2100000000000009</v>
      </c>
      <c r="F740" s="1" t="s">
        <v>468</v>
      </c>
      <c r="G740" s="1" t="s">
        <v>1098</v>
      </c>
      <c r="H740" s="22" t="s">
        <v>1108</v>
      </c>
      <c r="I740" s="1" t="s">
        <v>2754</v>
      </c>
    </row>
    <row r="741" spans="1:9" x14ac:dyDescent="0.25">
      <c r="A741" s="1" t="s">
        <v>2713</v>
      </c>
      <c r="B741" s="1" t="s">
        <v>2750</v>
      </c>
      <c r="C741" s="2">
        <v>44547</v>
      </c>
      <c r="D741" s="24">
        <v>60</v>
      </c>
      <c r="E741" s="21">
        <v>60</v>
      </c>
      <c r="F741" s="1" t="s">
        <v>2751</v>
      </c>
      <c r="G741" s="1" t="s">
        <v>2752</v>
      </c>
      <c r="H741" s="22" t="s">
        <v>2753</v>
      </c>
      <c r="I741" s="1" t="s">
        <v>2755</v>
      </c>
    </row>
    <row r="742" spans="1:9" x14ac:dyDescent="0.25">
      <c r="A742" s="1" t="s">
        <v>2714</v>
      </c>
      <c r="B742" s="1" t="s">
        <v>2756</v>
      </c>
      <c r="C742" s="2">
        <v>44545</v>
      </c>
      <c r="D742" s="24">
        <v>50.76</v>
      </c>
      <c r="E742" s="21">
        <v>60.9</v>
      </c>
      <c r="F742" s="1" t="s">
        <v>467</v>
      </c>
      <c r="G742" s="22" t="s">
        <v>1099</v>
      </c>
      <c r="H742" s="1" t="s">
        <v>1117</v>
      </c>
      <c r="I742" s="1" t="s">
        <v>2757</v>
      </c>
    </row>
    <row r="743" spans="1:9" x14ac:dyDescent="0.25">
      <c r="A743" s="1" t="s">
        <v>2715</v>
      </c>
      <c r="B743" s="1" t="s">
        <v>2772</v>
      </c>
      <c r="C743" s="2">
        <v>44543</v>
      </c>
      <c r="D743" s="24">
        <v>1156</v>
      </c>
      <c r="E743" s="21">
        <v>1156</v>
      </c>
      <c r="F743" s="1" t="s">
        <v>1290</v>
      </c>
      <c r="G743" s="1" t="s">
        <v>1291</v>
      </c>
      <c r="H743" s="22" t="s">
        <v>2773</v>
      </c>
      <c r="I743" s="1" t="s">
        <v>2774</v>
      </c>
    </row>
    <row r="744" spans="1:9" x14ac:dyDescent="0.25">
      <c r="A744" s="1" t="s">
        <v>2716</v>
      </c>
      <c r="B744" s="1" t="s">
        <v>2775</v>
      </c>
      <c r="C744" s="2">
        <v>44547</v>
      </c>
      <c r="D744" s="24">
        <v>2450</v>
      </c>
      <c r="E744" s="21">
        <v>2450</v>
      </c>
      <c r="F744" s="1" t="s">
        <v>482</v>
      </c>
      <c r="G744" s="7" t="s">
        <v>1128</v>
      </c>
      <c r="H744" s="7" t="s">
        <v>1108</v>
      </c>
      <c r="I744" s="1" t="s">
        <v>2776</v>
      </c>
    </row>
    <row r="745" spans="1:9" x14ac:dyDescent="0.25">
      <c r="A745" s="1" t="s">
        <v>2717</v>
      </c>
      <c r="B745" s="1" t="s">
        <v>2777</v>
      </c>
      <c r="C745" s="2">
        <v>44547</v>
      </c>
      <c r="D745" s="24">
        <v>2130.96</v>
      </c>
      <c r="E745" s="21">
        <v>2557.15</v>
      </c>
      <c r="F745" s="1" t="s">
        <v>468</v>
      </c>
      <c r="G745" s="1" t="s">
        <v>1098</v>
      </c>
      <c r="H745" s="22" t="s">
        <v>1189</v>
      </c>
      <c r="I745" s="1" t="s">
        <v>2781</v>
      </c>
    </row>
    <row r="746" spans="1:9" x14ac:dyDescent="0.25">
      <c r="A746" s="1" t="s">
        <v>2718</v>
      </c>
      <c r="B746" s="1" t="s">
        <v>2778</v>
      </c>
      <c r="C746" s="2">
        <v>44547</v>
      </c>
      <c r="D746" s="24">
        <v>1625</v>
      </c>
      <c r="E746" s="21">
        <v>1950</v>
      </c>
      <c r="F746" s="1" t="s">
        <v>468</v>
      </c>
      <c r="G746" s="1" t="s">
        <v>1098</v>
      </c>
      <c r="H746" s="22" t="s">
        <v>1189</v>
      </c>
      <c r="I746" s="1" t="s">
        <v>2782</v>
      </c>
    </row>
    <row r="747" spans="1:9" x14ac:dyDescent="0.25">
      <c r="A747" s="1" t="s">
        <v>2719</v>
      </c>
      <c r="B747" s="1" t="s">
        <v>2779</v>
      </c>
      <c r="C747" s="2">
        <v>44547</v>
      </c>
      <c r="D747" s="24">
        <v>602.24</v>
      </c>
      <c r="E747" s="21">
        <v>722.69</v>
      </c>
      <c r="F747" s="1" t="s">
        <v>468</v>
      </c>
      <c r="G747" s="1" t="s">
        <v>1098</v>
      </c>
      <c r="H747" s="22" t="s">
        <v>1189</v>
      </c>
      <c r="I747" s="1" t="s">
        <v>2780</v>
      </c>
    </row>
    <row r="748" spans="1:9" x14ac:dyDescent="0.25">
      <c r="A748" s="1" t="s">
        <v>2720</v>
      </c>
      <c r="B748" s="1" t="s">
        <v>2783</v>
      </c>
      <c r="C748" s="2">
        <v>44546</v>
      </c>
      <c r="D748" s="24">
        <f>19.2</f>
        <v>19.2</v>
      </c>
      <c r="E748" s="21">
        <v>23.04</v>
      </c>
      <c r="F748" s="1" t="s">
        <v>2784</v>
      </c>
      <c r="G748" s="1" t="s">
        <v>1144</v>
      </c>
      <c r="H748" s="22" t="s">
        <v>1108</v>
      </c>
      <c r="I748" s="1" t="s">
        <v>2785</v>
      </c>
    </row>
    <row r="749" spans="1:9" x14ac:dyDescent="0.25">
      <c r="A749" s="1" t="s">
        <v>2721</v>
      </c>
      <c r="B749" s="1" t="s">
        <v>2786</v>
      </c>
      <c r="C749" s="2">
        <v>44546</v>
      </c>
      <c r="D749" s="24">
        <f>4990.94</f>
        <v>4990.9399999999996</v>
      </c>
      <c r="E749" s="21">
        <f>5989.13</f>
        <v>5989.13</v>
      </c>
      <c r="F749" s="1" t="s">
        <v>2784</v>
      </c>
      <c r="G749" s="1" t="s">
        <v>1144</v>
      </c>
      <c r="H749" s="22" t="s">
        <v>1108</v>
      </c>
      <c r="I749" s="1" t="s">
        <v>2785</v>
      </c>
    </row>
    <row r="750" spans="1:9" x14ac:dyDescent="0.25">
      <c r="A750" s="1" t="s">
        <v>2722</v>
      </c>
      <c r="B750" s="1" t="s">
        <v>2787</v>
      </c>
      <c r="C750" s="2">
        <v>44550</v>
      </c>
      <c r="D750" s="29">
        <f>-25.23</f>
        <v>-25.23</v>
      </c>
      <c r="E750" s="29">
        <f>-30.28</f>
        <v>-30.28</v>
      </c>
      <c r="F750" s="1" t="s">
        <v>504</v>
      </c>
      <c r="G750" s="1" t="s">
        <v>1107</v>
      </c>
      <c r="H750" s="22" t="s">
        <v>1108</v>
      </c>
      <c r="I750" s="1" t="s">
        <v>2788</v>
      </c>
    </row>
    <row r="751" spans="1:9" x14ac:dyDescent="0.25">
      <c r="A751" s="1" t="s">
        <v>2723</v>
      </c>
      <c r="B751" s="1" t="s">
        <v>2789</v>
      </c>
      <c r="C751" s="2">
        <v>44547</v>
      </c>
      <c r="D751" s="24">
        <v>1598</v>
      </c>
      <c r="E751" s="21">
        <f>1917.6</f>
        <v>1917.6</v>
      </c>
      <c r="F751" s="1" t="s">
        <v>470</v>
      </c>
      <c r="G751" s="1" t="s">
        <v>1101</v>
      </c>
      <c r="H751" s="22" t="s">
        <v>1102</v>
      </c>
      <c r="I751" s="1" t="s">
        <v>982</v>
      </c>
    </row>
    <row r="752" spans="1:9" x14ac:dyDescent="0.25">
      <c r="A752" s="1" t="s">
        <v>2724</v>
      </c>
      <c r="B752" s="1" t="s">
        <v>2790</v>
      </c>
      <c r="C752" s="2">
        <v>44559</v>
      </c>
      <c r="D752" s="24">
        <f>3370</f>
        <v>3370</v>
      </c>
      <c r="E752" s="21">
        <v>4044</v>
      </c>
      <c r="F752" s="1" t="s">
        <v>468</v>
      </c>
      <c r="G752" s="1" t="s">
        <v>1098</v>
      </c>
      <c r="H752" s="22" t="s">
        <v>1108</v>
      </c>
      <c r="I752" s="1" t="s">
        <v>2791</v>
      </c>
    </row>
    <row r="753" spans="1:9" x14ac:dyDescent="0.25">
      <c r="A753" s="1" t="s">
        <v>2725</v>
      </c>
      <c r="B753" s="1" t="s">
        <v>2793</v>
      </c>
      <c r="C753" s="2">
        <v>44550</v>
      </c>
      <c r="D753" s="24">
        <v>12311.67</v>
      </c>
      <c r="E753" s="21">
        <v>14774</v>
      </c>
      <c r="F753" s="1" t="s">
        <v>468</v>
      </c>
      <c r="G753" s="1" t="s">
        <v>1098</v>
      </c>
      <c r="H753" s="22" t="s">
        <v>1108</v>
      </c>
      <c r="I753" s="1" t="s">
        <v>2792</v>
      </c>
    </row>
    <row r="754" spans="1:9" x14ac:dyDescent="0.25">
      <c r="A754" s="1" t="s">
        <v>2726</v>
      </c>
      <c r="B754" s="1" t="s">
        <v>2795</v>
      </c>
      <c r="C754" s="2">
        <v>44547</v>
      </c>
      <c r="D754" s="29">
        <f>-6.12</f>
        <v>-6.12</v>
      </c>
      <c r="E754" s="29">
        <f>-7.34</f>
        <v>-7.34</v>
      </c>
      <c r="F754" s="1" t="s">
        <v>468</v>
      </c>
      <c r="G754" s="1" t="s">
        <v>1098</v>
      </c>
      <c r="H754" s="22" t="s">
        <v>1108</v>
      </c>
      <c r="I754" s="1" t="s">
        <v>2794</v>
      </c>
    </row>
    <row r="755" spans="1:9" x14ac:dyDescent="0.25">
      <c r="A755" s="1" t="s">
        <v>2727</v>
      </c>
      <c r="B755" s="1" t="s">
        <v>2796</v>
      </c>
      <c r="C755" s="2">
        <v>44546</v>
      </c>
      <c r="D755" s="24">
        <v>13472.02</v>
      </c>
      <c r="E755" s="21">
        <v>16166.42</v>
      </c>
      <c r="F755" s="1" t="s">
        <v>468</v>
      </c>
      <c r="G755" s="1" t="s">
        <v>1098</v>
      </c>
      <c r="H755" s="22" t="s">
        <v>1189</v>
      </c>
      <c r="I755" s="1" t="s">
        <v>2797</v>
      </c>
    </row>
    <row r="756" spans="1:9" x14ac:dyDescent="0.25">
      <c r="A756" s="1" t="s">
        <v>2728</v>
      </c>
      <c r="B756" s="1" t="s">
        <v>2798</v>
      </c>
      <c r="C756" s="2">
        <v>44552</v>
      </c>
      <c r="D756" s="24">
        <v>341.2</v>
      </c>
      <c r="E756" s="21">
        <v>409.44</v>
      </c>
      <c r="F756" s="1" t="s">
        <v>2799</v>
      </c>
      <c r="G756" s="1" t="s">
        <v>2800</v>
      </c>
      <c r="H756" s="22" t="s">
        <v>1108</v>
      </c>
      <c r="I756" s="1" t="s">
        <v>2801</v>
      </c>
    </row>
    <row r="757" spans="1:9" x14ac:dyDescent="0.25">
      <c r="A757" s="1" t="s">
        <v>2729</v>
      </c>
      <c r="B757" s="1" t="s">
        <v>2802</v>
      </c>
      <c r="C757" s="2">
        <v>44552</v>
      </c>
      <c r="D757" s="24">
        <v>85.5</v>
      </c>
      <c r="E757" s="21">
        <v>85.5</v>
      </c>
      <c r="F757" s="1" t="s">
        <v>469</v>
      </c>
      <c r="G757" s="4" t="s">
        <v>1100</v>
      </c>
      <c r="H757" s="4" t="s">
        <v>1100</v>
      </c>
      <c r="I757" s="1" t="s">
        <v>1940</v>
      </c>
    </row>
    <row r="758" spans="1:9" x14ac:dyDescent="0.25">
      <c r="A758" s="1" t="s">
        <v>2730</v>
      </c>
      <c r="B758" s="1" t="s">
        <v>2803</v>
      </c>
      <c r="C758" s="2">
        <v>44550</v>
      </c>
      <c r="D758" s="24">
        <v>16.5</v>
      </c>
      <c r="E758" s="21">
        <v>16.5</v>
      </c>
      <c r="F758" s="1" t="s">
        <v>469</v>
      </c>
      <c r="G758" s="4" t="s">
        <v>1100</v>
      </c>
      <c r="H758" s="4" t="s">
        <v>1100</v>
      </c>
      <c r="I758" s="1" t="s">
        <v>1940</v>
      </c>
    </row>
    <row r="759" spans="1:9" x14ac:dyDescent="0.25">
      <c r="A759" s="1" t="s">
        <v>2731</v>
      </c>
      <c r="B759" s="1" t="s">
        <v>2804</v>
      </c>
      <c r="C759" s="2">
        <v>44552</v>
      </c>
      <c r="D759" s="24">
        <v>50</v>
      </c>
      <c r="E759" s="21">
        <v>60</v>
      </c>
      <c r="F759" s="1" t="s">
        <v>2506</v>
      </c>
      <c r="G759" s="1" t="s">
        <v>2507</v>
      </c>
      <c r="H759" s="22" t="s">
        <v>2805</v>
      </c>
      <c r="I759" s="1" t="s">
        <v>2806</v>
      </c>
    </row>
    <row r="760" spans="1:9" x14ac:dyDescent="0.25">
      <c r="A760" s="1" t="s">
        <v>2732</v>
      </c>
      <c r="B760" s="1" t="s">
        <v>2807</v>
      </c>
      <c r="C760" s="2">
        <v>44550</v>
      </c>
      <c r="D760" s="24">
        <v>2450</v>
      </c>
      <c r="E760" s="21">
        <v>2940</v>
      </c>
      <c r="F760" s="1" t="s">
        <v>2808</v>
      </c>
      <c r="G760" s="1" t="s">
        <v>2809</v>
      </c>
      <c r="H760" s="22" t="s">
        <v>2810</v>
      </c>
      <c r="I760" s="1" t="s">
        <v>2811</v>
      </c>
    </row>
    <row r="761" spans="1:9" x14ac:dyDescent="0.25">
      <c r="A761" s="1" t="s">
        <v>2758</v>
      </c>
      <c r="B761" s="1" t="s">
        <v>1730</v>
      </c>
      <c r="C761" s="2">
        <v>44552</v>
      </c>
      <c r="D761" s="24">
        <v>12783.86</v>
      </c>
      <c r="E761" s="21">
        <v>15340.63</v>
      </c>
      <c r="F761" s="1" t="s">
        <v>2812</v>
      </c>
      <c r="G761" s="1" t="s">
        <v>2813</v>
      </c>
      <c r="H761" s="22" t="s">
        <v>1102</v>
      </c>
      <c r="I761" s="1" t="s">
        <v>2814</v>
      </c>
    </row>
    <row r="762" spans="1:9" x14ac:dyDescent="0.25">
      <c r="A762" s="1" t="s">
        <v>2759</v>
      </c>
      <c r="B762" s="1" t="s">
        <v>1733</v>
      </c>
      <c r="C762" s="2">
        <v>44552</v>
      </c>
      <c r="D762" s="24">
        <v>884.5</v>
      </c>
      <c r="E762" s="21">
        <v>1061.4000000000001</v>
      </c>
      <c r="F762" s="1" t="s">
        <v>2812</v>
      </c>
      <c r="G762" s="1" t="s">
        <v>2813</v>
      </c>
      <c r="H762" s="22" t="s">
        <v>2815</v>
      </c>
      <c r="I762" s="1" t="s">
        <v>2816</v>
      </c>
    </row>
    <row r="763" spans="1:9" x14ac:dyDescent="0.25">
      <c r="A763" s="1" t="s">
        <v>2760</v>
      </c>
      <c r="B763" s="1" t="s">
        <v>2817</v>
      </c>
      <c r="C763" s="2">
        <v>44552</v>
      </c>
      <c r="D763" s="24">
        <v>3684.2</v>
      </c>
      <c r="E763" s="21">
        <v>4421.04</v>
      </c>
      <c r="F763" s="1" t="s">
        <v>2222</v>
      </c>
      <c r="G763" s="1" t="s">
        <v>2223</v>
      </c>
      <c r="H763" s="22" t="s">
        <v>2818</v>
      </c>
      <c r="I763" s="1" t="s">
        <v>2819</v>
      </c>
    </row>
    <row r="764" spans="1:9" x14ac:dyDescent="0.25">
      <c r="A764" s="1" t="s">
        <v>2761</v>
      </c>
      <c r="B764" s="1" t="s">
        <v>2820</v>
      </c>
      <c r="C764" s="2">
        <v>44559</v>
      </c>
      <c r="D764" s="24">
        <v>19815</v>
      </c>
      <c r="E764" s="21">
        <v>23778</v>
      </c>
      <c r="F764" s="1" t="s">
        <v>468</v>
      </c>
      <c r="G764" s="1" t="s">
        <v>1098</v>
      </c>
      <c r="H764" s="22" t="s">
        <v>1189</v>
      </c>
      <c r="I764" s="1" t="s">
        <v>2854</v>
      </c>
    </row>
    <row r="765" spans="1:9" x14ac:dyDescent="0.25">
      <c r="A765" s="1" t="s">
        <v>2762</v>
      </c>
      <c r="B765" s="1" t="s">
        <v>2821</v>
      </c>
      <c r="C765" s="2">
        <v>44559</v>
      </c>
      <c r="D765" s="24">
        <v>13395</v>
      </c>
      <c r="E765" s="21">
        <v>16074</v>
      </c>
      <c r="F765" s="1" t="s">
        <v>468</v>
      </c>
      <c r="G765" s="1" t="s">
        <v>1098</v>
      </c>
      <c r="H765" s="22" t="s">
        <v>1189</v>
      </c>
      <c r="I765" s="1" t="s">
        <v>2855</v>
      </c>
    </row>
    <row r="766" spans="1:9" x14ac:dyDescent="0.25">
      <c r="A766" s="1" t="s">
        <v>2763</v>
      </c>
      <c r="B766" s="1" t="s">
        <v>2822</v>
      </c>
      <c r="C766" s="2">
        <v>44559</v>
      </c>
      <c r="D766" s="24">
        <v>2909.2</v>
      </c>
      <c r="E766" s="21">
        <v>3491.04</v>
      </c>
      <c r="F766" s="1" t="s">
        <v>468</v>
      </c>
      <c r="G766" s="1" t="s">
        <v>1098</v>
      </c>
      <c r="H766" s="22" t="s">
        <v>1189</v>
      </c>
      <c r="I766" s="1" t="s">
        <v>2856</v>
      </c>
    </row>
    <row r="767" spans="1:9" x14ac:dyDescent="0.25">
      <c r="A767" s="1" t="s">
        <v>2764</v>
      </c>
      <c r="B767" s="1" t="s">
        <v>2823</v>
      </c>
      <c r="C767" s="2">
        <v>44559</v>
      </c>
      <c r="D767" s="24">
        <v>24</v>
      </c>
      <c r="E767" s="21">
        <v>28.8</v>
      </c>
      <c r="F767" s="1" t="s">
        <v>468</v>
      </c>
      <c r="G767" s="1" t="s">
        <v>1098</v>
      </c>
      <c r="H767" s="22" t="s">
        <v>1189</v>
      </c>
      <c r="I767" s="1" t="s">
        <v>2857</v>
      </c>
    </row>
    <row r="768" spans="1:9" x14ac:dyDescent="0.25">
      <c r="A768" s="1" t="s">
        <v>2765</v>
      </c>
      <c r="B768" s="1" t="s">
        <v>2824</v>
      </c>
      <c r="C768" s="2">
        <v>44559</v>
      </c>
      <c r="D768" s="24">
        <v>112</v>
      </c>
      <c r="E768" s="21">
        <v>134.4</v>
      </c>
      <c r="F768" s="1" t="s">
        <v>468</v>
      </c>
      <c r="G768" s="1" t="s">
        <v>1098</v>
      </c>
      <c r="H768" s="22" t="s">
        <v>1189</v>
      </c>
      <c r="I768" s="1" t="s">
        <v>2858</v>
      </c>
    </row>
    <row r="769" spans="1:9" x14ac:dyDescent="0.25">
      <c r="A769" s="1" t="s">
        <v>2766</v>
      </c>
      <c r="B769" s="1" t="s">
        <v>2825</v>
      </c>
      <c r="C769" s="2">
        <v>44559</v>
      </c>
      <c r="D769" s="24">
        <v>160</v>
      </c>
      <c r="E769" s="21">
        <v>192</v>
      </c>
      <c r="F769" s="1" t="s">
        <v>468</v>
      </c>
      <c r="G769" s="1" t="s">
        <v>1098</v>
      </c>
      <c r="H769" s="22" t="s">
        <v>1189</v>
      </c>
      <c r="I769" s="1" t="s">
        <v>2859</v>
      </c>
    </row>
    <row r="770" spans="1:9" x14ac:dyDescent="0.25">
      <c r="A770" s="1" t="s">
        <v>2767</v>
      </c>
      <c r="B770" s="1" t="s">
        <v>2861</v>
      </c>
      <c r="C770" s="2">
        <v>44559</v>
      </c>
      <c r="D770" s="24">
        <v>700</v>
      </c>
      <c r="E770" s="21">
        <v>840</v>
      </c>
      <c r="F770" s="1" t="s">
        <v>468</v>
      </c>
      <c r="G770" s="1" t="s">
        <v>1098</v>
      </c>
      <c r="H770" s="22" t="s">
        <v>1189</v>
      </c>
      <c r="I770" s="1" t="s">
        <v>2860</v>
      </c>
    </row>
    <row r="771" spans="1:9" x14ac:dyDescent="0.25">
      <c r="A771" s="1" t="s">
        <v>2768</v>
      </c>
      <c r="B771" s="1" t="s">
        <v>2862</v>
      </c>
      <c r="C771" s="2">
        <v>44559</v>
      </c>
      <c r="D771" s="24">
        <v>18994</v>
      </c>
      <c r="E771" s="21">
        <v>22792.799999999999</v>
      </c>
      <c r="F771" s="1" t="s">
        <v>468</v>
      </c>
      <c r="G771" s="1" t="s">
        <v>1098</v>
      </c>
      <c r="H771" s="22" t="s">
        <v>1189</v>
      </c>
      <c r="I771" s="1" t="s">
        <v>2863</v>
      </c>
    </row>
    <row r="772" spans="1:9" x14ac:dyDescent="0.25">
      <c r="A772" s="1" t="s">
        <v>2769</v>
      </c>
      <c r="B772" s="1" t="s">
        <v>2864</v>
      </c>
      <c r="C772" s="2">
        <v>44559</v>
      </c>
      <c r="D772" s="24">
        <v>747.89</v>
      </c>
      <c r="E772" s="21">
        <v>897.47</v>
      </c>
      <c r="F772" s="1" t="s">
        <v>468</v>
      </c>
      <c r="G772" s="1" t="s">
        <v>1098</v>
      </c>
      <c r="H772" s="22" t="s">
        <v>1189</v>
      </c>
      <c r="I772" s="1" t="s">
        <v>2865</v>
      </c>
    </row>
    <row r="773" spans="1:9" x14ac:dyDescent="0.25">
      <c r="A773" s="1" t="s">
        <v>2770</v>
      </c>
      <c r="B773" s="1" t="s">
        <v>2866</v>
      </c>
      <c r="C773" s="2">
        <v>44559</v>
      </c>
      <c r="D773" s="24">
        <v>291.5</v>
      </c>
      <c r="E773" s="21">
        <v>349.8</v>
      </c>
      <c r="F773" s="1" t="s">
        <v>468</v>
      </c>
      <c r="G773" s="1" t="s">
        <v>1098</v>
      </c>
      <c r="H773" s="22" t="s">
        <v>1189</v>
      </c>
      <c r="I773" s="1" t="s">
        <v>2867</v>
      </c>
    </row>
    <row r="774" spans="1:9" x14ac:dyDescent="0.25">
      <c r="A774" s="1" t="s">
        <v>2771</v>
      </c>
      <c r="B774" s="1" t="s">
        <v>2868</v>
      </c>
      <c r="C774" s="2">
        <v>44559</v>
      </c>
      <c r="D774" s="24">
        <v>35.5</v>
      </c>
      <c r="E774" s="21">
        <v>42.6</v>
      </c>
      <c r="F774" s="1" t="s">
        <v>468</v>
      </c>
      <c r="G774" s="1" t="s">
        <v>1098</v>
      </c>
      <c r="H774" s="22" t="s">
        <v>1189</v>
      </c>
      <c r="I774" s="1" t="s">
        <v>2869</v>
      </c>
    </row>
    <row r="775" spans="1:9" x14ac:dyDescent="0.25">
      <c r="A775" s="1" t="s">
        <v>2826</v>
      </c>
      <c r="B775" s="1" t="s">
        <v>2870</v>
      </c>
      <c r="C775" s="2">
        <v>44559</v>
      </c>
      <c r="D775" s="24">
        <v>24.5</v>
      </c>
      <c r="E775" s="21">
        <v>29.4</v>
      </c>
      <c r="F775" s="1" t="s">
        <v>468</v>
      </c>
      <c r="G775" s="1" t="s">
        <v>1098</v>
      </c>
      <c r="H775" s="22" t="s">
        <v>1189</v>
      </c>
      <c r="I775" s="1" t="s">
        <v>2871</v>
      </c>
    </row>
    <row r="776" spans="1:9" x14ac:dyDescent="0.25">
      <c r="A776" s="1" t="s">
        <v>2827</v>
      </c>
      <c r="B776" s="1" t="s">
        <v>2872</v>
      </c>
      <c r="C776" s="2">
        <v>44559</v>
      </c>
      <c r="D776" s="24">
        <v>1922.62</v>
      </c>
      <c r="E776" s="21">
        <v>2307.14</v>
      </c>
      <c r="F776" s="1" t="s">
        <v>468</v>
      </c>
      <c r="G776" s="1" t="s">
        <v>1098</v>
      </c>
      <c r="H776" s="22" t="s">
        <v>1189</v>
      </c>
      <c r="I776" s="1" t="s">
        <v>2873</v>
      </c>
    </row>
    <row r="777" spans="1:9" x14ac:dyDescent="0.25">
      <c r="A777" s="1" t="s">
        <v>2828</v>
      </c>
      <c r="B777" s="1" t="s">
        <v>2874</v>
      </c>
      <c r="C777" s="2">
        <v>44559</v>
      </c>
      <c r="D777" s="24">
        <v>14393.98</v>
      </c>
      <c r="E777" s="21">
        <v>17272.78</v>
      </c>
      <c r="F777" s="1" t="s">
        <v>2222</v>
      </c>
      <c r="G777" s="1" t="s">
        <v>2223</v>
      </c>
      <c r="H777" s="22" t="s">
        <v>1102</v>
      </c>
      <c r="I777" s="1" t="s">
        <v>2875</v>
      </c>
    </row>
    <row r="778" spans="1:9" x14ac:dyDescent="0.25">
      <c r="A778" s="1" t="s">
        <v>2829</v>
      </c>
      <c r="B778" s="1" t="s">
        <v>2913</v>
      </c>
      <c r="C778" s="2">
        <v>44559</v>
      </c>
      <c r="D778" s="24">
        <v>1065</v>
      </c>
      <c r="E778" s="21">
        <v>1278</v>
      </c>
      <c r="F778" s="1" t="s">
        <v>2451</v>
      </c>
      <c r="G778" s="1" t="s">
        <v>2452</v>
      </c>
      <c r="H778" s="22" t="s">
        <v>1102</v>
      </c>
      <c r="I778" s="1" t="s">
        <v>2914</v>
      </c>
    </row>
    <row r="779" spans="1:9" x14ac:dyDescent="0.25">
      <c r="A779" s="1" t="s">
        <v>2830</v>
      </c>
      <c r="B779" s="1" t="s">
        <v>2915</v>
      </c>
      <c r="C779" s="2">
        <v>44559</v>
      </c>
      <c r="D779" s="24">
        <v>710</v>
      </c>
      <c r="E779" s="21">
        <v>852</v>
      </c>
      <c r="F779" s="1" t="s">
        <v>2451</v>
      </c>
      <c r="G779" s="1" t="s">
        <v>2452</v>
      </c>
      <c r="H779" s="22" t="s">
        <v>1102</v>
      </c>
      <c r="I779" s="1" t="s">
        <v>2918</v>
      </c>
    </row>
    <row r="780" spans="1:9" x14ac:dyDescent="0.25">
      <c r="A780" s="1" t="s">
        <v>2831</v>
      </c>
      <c r="B780" s="1" t="s">
        <v>2919</v>
      </c>
      <c r="C780" s="2">
        <v>44559</v>
      </c>
      <c r="D780" s="24">
        <v>781</v>
      </c>
      <c r="E780" s="21">
        <v>937.19</v>
      </c>
      <c r="F780" s="1" t="s">
        <v>2451</v>
      </c>
      <c r="G780" s="1" t="s">
        <v>2452</v>
      </c>
      <c r="H780" s="22" t="s">
        <v>1102</v>
      </c>
      <c r="I780" s="1" t="s">
        <v>2920</v>
      </c>
    </row>
    <row r="781" spans="1:9" x14ac:dyDescent="0.25">
      <c r="A781" s="1" t="s">
        <v>2832</v>
      </c>
      <c r="B781" s="1" t="s">
        <v>2921</v>
      </c>
      <c r="C781" s="2">
        <v>44559</v>
      </c>
      <c r="D781" s="24">
        <v>994</v>
      </c>
      <c r="E781" s="21">
        <v>1192.81</v>
      </c>
      <c r="F781" s="1" t="s">
        <v>2451</v>
      </c>
      <c r="G781" s="1" t="s">
        <v>2452</v>
      </c>
      <c r="H781" s="22" t="s">
        <v>1102</v>
      </c>
      <c r="I781" s="1" t="s">
        <v>2922</v>
      </c>
    </row>
    <row r="782" spans="1:9" x14ac:dyDescent="0.25">
      <c r="A782" s="1" t="s">
        <v>2833</v>
      </c>
      <c r="B782" s="1" t="s">
        <v>2923</v>
      </c>
      <c r="C782" s="2">
        <v>44559</v>
      </c>
      <c r="D782" s="24">
        <v>599.94000000000005</v>
      </c>
      <c r="E782" s="21">
        <v>719.92</v>
      </c>
      <c r="F782" s="1" t="s">
        <v>2451</v>
      </c>
      <c r="G782" s="1" t="s">
        <v>2452</v>
      </c>
      <c r="H782" s="22" t="s">
        <v>1102</v>
      </c>
      <c r="I782" s="1" t="s">
        <v>2924</v>
      </c>
    </row>
    <row r="783" spans="1:9" x14ac:dyDescent="0.25">
      <c r="A783" s="1" t="s">
        <v>2834</v>
      </c>
      <c r="B783" s="1" t="s">
        <v>2925</v>
      </c>
      <c r="C783" s="2">
        <v>44559</v>
      </c>
      <c r="D783" s="24">
        <v>497</v>
      </c>
      <c r="E783" s="21">
        <v>596.41</v>
      </c>
      <c r="F783" s="1" t="s">
        <v>2451</v>
      </c>
      <c r="G783" s="1" t="s">
        <v>2452</v>
      </c>
      <c r="H783" s="22" t="s">
        <v>1102</v>
      </c>
      <c r="I783" s="1" t="s">
        <v>2926</v>
      </c>
    </row>
    <row r="784" spans="1:9" x14ac:dyDescent="0.25">
      <c r="A784" s="1" t="s">
        <v>2835</v>
      </c>
      <c r="B784" s="1" t="s">
        <v>2927</v>
      </c>
      <c r="C784" s="2">
        <v>44559</v>
      </c>
      <c r="D784" s="24">
        <v>852</v>
      </c>
      <c r="E784" s="21">
        <v>1022.41</v>
      </c>
      <c r="F784" s="1" t="s">
        <v>2451</v>
      </c>
      <c r="G784" s="1" t="s">
        <v>2452</v>
      </c>
      <c r="H784" s="22" t="s">
        <v>1102</v>
      </c>
      <c r="I784" s="1" t="s">
        <v>2928</v>
      </c>
    </row>
    <row r="785" spans="1:9" x14ac:dyDescent="0.25">
      <c r="A785" s="1" t="s">
        <v>2836</v>
      </c>
      <c r="B785" s="1" t="s">
        <v>2929</v>
      </c>
      <c r="C785" s="2">
        <v>44559</v>
      </c>
      <c r="D785" s="24">
        <v>994</v>
      </c>
      <c r="E785" s="21">
        <v>1192.81</v>
      </c>
      <c r="F785" s="1" t="s">
        <v>2451</v>
      </c>
      <c r="G785" s="1" t="s">
        <v>2452</v>
      </c>
      <c r="H785" s="22" t="s">
        <v>1102</v>
      </c>
      <c r="I785" s="1" t="s">
        <v>2930</v>
      </c>
    </row>
    <row r="786" spans="1:9" x14ac:dyDescent="0.25">
      <c r="A786" s="1" t="s">
        <v>2837</v>
      </c>
      <c r="B786" s="1" t="s">
        <v>2931</v>
      </c>
      <c r="C786" s="2">
        <v>44559</v>
      </c>
      <c r="D786" s="24">
        <v>1136</v>
      </c>
      <c r="E786" s="21">
        <v>1363.19</v>
      </c>
      <c r="F786" s="1" t="s">
        <v>2451</v>
      </c>
      <c r="G786" s="1" t="s">
        <v>2452</v>
      </c>
      <c r="H786" s="22" t="s">
        <v>1102</v>
      </c>
      <c r="I786" s="1" t="s">
        <v>2932</v>
      </c>
    </row>
    <row r="787" spans="1:9" x14ac:dyDescent="0.25">
      <c r="A787" s="1" t="s">
        <v>2838</v>
      </c>
      <c r="B787" s="1" t="s">
        <v>2933</v>
      </c>
      <c r="C787" s="2">
        <v>44559</v>
      </c>
      <c r="D787" s="24">
        <v>781</v>
      </c>
      <c r="E787" s="21">
        <v>937.19</v>
      </c>
      <c r="F787" s="1" t="s">
        <v>2451</v>
      </c>
      <c r="G787" s="1" t="s">
        <v>2452</v>
      </c>
      <c r="H787" s="22" t="s">
        <v>1102</v>
      </c>
      <c r="I787" s="1" t="s">
        <v>2934</v>
      </c>
    </row>
    <row r="788" spans="1:9" x14ac:dyDescent="0.25">
      <c r="A788" s="1" t="s">
        <v>2839</v>
      </c>
      <c r="B788" s="1" t="s">
        <v>2935</v>
      </c>
      <c r="C788" s="2">
        <v>44559</v>
      </c>
      <c r="D788" s="24">
        <v>852</v>
      </c>
      <c r="E788" s="21">
        <v>1022.41</v>
      </c>
      <c r="F788" s="1" t="s">
        <v>2451</v>
      </c>
      <c r="G788" s="1" t="s">
        <v>2452</v>
      </c>
      <c r="H788" s="22" t="s">
        <v>1102</v>
      </c>
      <c r="I788" s="1" t="s">
        <v>2936</v>
      </c>
    </row>
    <row r="789" spans="1:9" x14ac:dyDescent="0.25">
      <c r="A789" s="1" t="s">
        <v>2840</v>
      </c>
      <c r="B789" s="1" t="s">
        <v>2937</v>
      </c>
      <c r="C789" s="2">
        <v>44559</v>
      </c>
      <c r="D789" s="24">
        <v>852</v>
      </c>
      <c r="E789" s="21">
        <v>1022.41</v>
      </c>
      <c r="F789" s="1" t="s">
        <v>2451</v>
      </c>
      <c r="G789" s="1" t="s">
        <v>2452</v>
      </c>
      <c r="H789" s="22" t="s">
        <v>1102</v>
      </c>
      <c r="I789" s="1" t="s">
        <v>2938</v>
      </c>
    </row>
    <row r="790" spans="1:9" x14ac:dyDescent="0.25">
      <c r="A790" s="1" t="s">
        <v>2841</v>
      </c>
      <c r="B790" s="1" t="s">
        <v>2939</v>
      </c>
      <c r="C790" s="2">
        <v>44559</v>
      </c>
      <c r="D790" s="24">
        <v>3000</v>
      </c>
      <c r="E790" s="21">
        <v>3600</v>
      </c>
      <c r="F790" s="1" t="s">
        <v>2451</v>
      </c>
      <c r="G790" s="1" t="s">
        <v>2452</v>
      </c>
      <c r="H790" s="22" t="s">
        <v>1102</v>
      </c>
      <c r="I790" s="1" t="s">
        <v>2940</v>
      </c>
    </row>
    <row r="791" spans="1:9" x14ac:dyDescent="0.25">
      <c r="A791" s="1" t="s">
        <v>2842</v>
      </c>
      <c r="B791" s="1" t="s">
        <v>2941</v>
      </c>
      <c r="C791" s="2">
        <v>44559</v>
      </c>
      <c r="D791" s="24">
        <v>355</v>
      </c>
      <c r="E791" s="21">
        <v>426</v>
      </c>
      <c r="F791" s="1" t="s">
        <v>2451</v>
      </c>
      <c r="G791" s="1" t="s">
        <v>2452</v>
      </c>
      <c r="H791" s="22" t="s">
        <v>1102</v>
      </c>
      <c r="I791" s="1" t="s">
        <v>2942</v>
      </c>
    </row>
    <row r="792" spans="1:9" x14ac:dyDescent="0.25">
      <c r="A792" s="1" t="s">
        <v>2843</v>
      </c>
      <c r="B792" s="1" t="s">
        <v>2943</v>
      </c>
      <c r="C792" s="2">
        <v>44559</v>
      </c>
      <c r="D792" s="24">
        <v>852</v>
      </c>
      <c r="E792" s="21">
        <v>1022.41</v>
      </c>
      <c r="F792" s="1" t="s">
        <v>2451</v>
      </c>
      <c r="G792" s="1" t="s">
        <v>2452</v>
      </c>
      <c r="H792" s="22" t="s">
        <v>1102</v>
      </c>
      <c r="I792" s="1" t="s">
        <v>2944</v>
      </c>
    </row>
    <row r="793" spans="1:9" x14ac:dyDescent="0.25">
      <c r="A793" s="1" t="s">
        <v>2844</v>
      </c>
      <c r="B793" s="1" t="s">
        <v>2945</v>
      </c>
      <c r="C793" s="2">
        <v>44559</v>
      </c>
      <c r="D793" s="24">
        <v>852</v>
      </c>
      <c r="E793" s="21">
        <v>1022.41</v>
      </c>
      <c r="F793" s="1" t="s">
        <v>2451</v>
      </c>
      <c r="G793" s="1" t="s">
        <v>2452</v>
      </c>
      <c r="H793" s="22" t="s">
        <v>1102</v>
      </c>
      <c r="I793" s="1" t="s">
        <v>2946</v>
      </c>
    </row>
    <row r="794" spans="1:9" x14ac:dyDescent="0.25">
      <c r="A794" s="1" t="s">
        <v>2845</v>
      </c>
      <c r="B794" s="1" t="s">
        <v>2947</v>
      </c>
      <c r="C794" s="2">
        <v>44559</v>
      </c>
      <c r="D794" s="24">
        <v>355</v>
      </c>
      <c r="E794" s="21">
        <v>426</v>
      </c>
      <c r="F794" s="1" t="s">
        <v>2451</v>
      </c>
      <c r="G794" s="1" t="s">
        <v>2452</v>
      </c>
      <c r="H794" s="22" t="s">
        <v>1102</v>
      </c>
      <c r="I794" s="1" t="s">
        <v>2948</v>
      </c>
    </row>
    <row r="795" spans="1:9" x14ac:dyDescent="0.25">
      <c r="A795" s="1" t="s">
        <v>2846</v>
      </c>
      <c r="B795" s="1" t="s">
        <v>2917</v>
      </c>
      <c r="C795" s="2">
        <v>44559</v>
      </c>
      <c r="D795" s="24">
        <v>213</v>
      </c>
      <c r="E795" s="21">
        <v>255.59</v>
      </c>
      <c r="F795" s="1" t="s">
        <v>2451</v>
      </c>
      <c r="G795" s="1" t="s">
        <v>2452</v>
      </c>
      <c r="H795" s="22" t="s">
        <v>1102</v>
      </c>
      <c r="I795" s="1" t="s">
        <v>2949</v>
      </c>
    </row>
    <row r="796" spans="1:9" x14ac:dyDescent="0.25">
      <c r="A796" s="1" t="s">
        <v>2847</v>
      </c>
      <c r="B796" s="1" t="s">
        <v>2950</v>
      </c>
      <c r="C796" s="2">
        <v>44559</v>
      </c>
      <c r="D796" s="24">
        <v>284</v>
      </c>
      <c r="E796" s="21">
        <v>340.81</v>
      </c>
      <c r="F796" s="1" t="s">
        <v>2451</v>
      </c>
      <c r="G796" s="1" t="s">
        <v>2452</v>
      </c>
      <c r="H796" s="22" t="s">
        <v>1102</v>
      </c>
      <c r="I796" s="1" t="s">
        <v>2951</v>
      </c>
    </row>
    <row r="797" spans="1:9" x14ac:dyDescent="0.25">
      <c r="A797" s="1" t="s">
        <v>2848</v>
      </c>
      <c r="B797" s="1" t="s">
        <v>2952</v>
      </c>
      <c r="C797" s="2">
        <v>44559</v>
      </c>
      <c r="D797" s="24">
        <v>3976</v>
      </c>
      <c r="E797" s="21">
        <v>4771.1899999999996</v>
      </c>
      <c r="F797" s="1" t="s">
        <v>2451</v>
      </c>
      <c r="G797" s="1" t="s">
        <v>2452</v>
      </c>
      <c r="H797" s="22" t="s">
        <v>1102</v>
      </c>
      <c r="I797" s="1" t="s">
        <v>2953</v>
      </c>
    </row>
    <row r="798" spans="1:9" x14ac:dyDescent="0.25">
      <c r="A798" s="1" t="s">
        <v>2849</v>
      </c>
      <c r="B798" s="1" t="s">
        <v>2954</v>
      </c>
      <c r="C798" s="2">
        <v>44559</v>
      </c>
      <c r="D798" s="24">
        <v>1633</v>
      </c>
      <c r="E798" s="21">
        <v>1959.59</v>
      </c>
      <c r="F798" s="1" t="s">
        <v>2451</v>
      </c>
      <c r="G798" s="1" t="s">
        <v>2452</v>
      </c>
      <c r="H798" s="22" t="s">
        <v>1102</v>
      </c>
      <c r="I798" s="1" t="s">
        <v>2955</v>
      </c>
    </row>
    <row r="799" spans="1:9" x14ac:dyDescent="0.25">
      <c r="A799" s="1" t="s">
        <v>2850</v>
      </c>
      <c r="B799" s="1" t="s">
        <v>2956</v>
      </c>
      <c r="C799" s="2">
        <v>44559</v>
      </c>
      <c r="D799" s="24">
        <v>1100.5</v>
      </c>
      <c r="E799" s="21">
        <v>1320.59</v>
      </c>
      <c r="F799" s="1" t="s">
        <v>2451</v>
      </c>
      <c r="G799" s="1" t="s">
        <v>2452</v>
      </c>
      <c r="H799" s="22" t="s">
        <v>1102</v>
      </c>
      <c r="I799" s="1" t="s">
        <v>2957</v>
      </c>
    </row>
    <row r="800" spans="1:9" x14ac:dyDescent="0.25">
      <c r="A800" s="1" t="s">
        <v>2851</v>
      </c>
      <c r="B800" s="1" t="s">
        <v>2958</v>
      </c>
      <c r="C800" s="2">
        <v>44559</v>
      </c>
      <c r="D800" s="24">
        <v>1278</v>
      </c>
      <c r="E800" s="21">
        <v>1533.59</v>
      </c>
      <c r="F800" s="1" t="s">
        <v>2451</v>
      </c>
      <c r="G800" s="1" t="s">
        <v>2452</v>
      </c>
      <c r="H800" s="22" t="s">
        <v>1102</v>
      </c>
      <c r="I800" s="1" t="s">
        <v>2959</v>
      </c>
    </row>
    <row r="801" spans="1:9" x14ac:dyDescent="0.25">
      <c r="A801" s="1" t="s">
        <v>2852</v>
      </c>
      <c r="B801" s="1" t="s">
        <v>2960</v>
      </c>
      <c r="C801" s="2">
        <v>44559</v>
      </c>
      <c r="D801" s="24">
        <v>4473</v>
      </c>
      <c r="E801" s="21">
        <v>5367.59</v>
      </c>
      <c r="F801" s="1" t="s">
        <v>2451</v>
      </c>
      <c r="G801" s="1" t="s">
        <v>2452</v>
      </c>
      <c r="H801" s="22" t="s">
        <v>1102</v>
      </c>
      <c r="I801" s="1" t="s">
        <v>2961</v>
      </c>
    </row>
    <row r="802" spans="1:9" x14ac:dyDescent="0.25">
      <c r="A802" s="1" t="s">
        <v>2853</v>
      </c>
      <c r="B802" s="1" t="s">
        <v>2962</v>
      </c>
      <c r="C802" s="2">
        <v>44559</v>
      </c>
      <c r="D802" s="24">
        <v>35.5</v>
      </c>
      <c r="E802" s="21">
        <v>42.59</v>
      </c>
      <c r="F802" s="1" t="s">
        <v>2451</v>
      </c>
      <c r="G802" s="1" t="s">
        <v>2452</v>
      </c>
      <c r="H802" s="22" t="s">
        <v>1102</v>
      </c>
      <c r="I802" s="1" t="s">
        <v>2963</v>
      </c>
    </row>
    <row r="803" spans="1:9" x14ac:dyDescent="0.25">
      <c r="A803" s="1" t="s">
        <v>2876</v>
      </c>
      <c r="B803" s="1" t="s">
        <v>2964</v>
      </c>
      <c r="C803" s="2">
        <v>44559</v>
      </c>
      <c r="D803" s="24">
        <v>35.5</v>
      </c>
      <c r="E803" s="21">
        <v>42.59</v>
      </c>
      <c r="F803" s="1" t="s">
        <v>2451</v>
      </c>
      <c r="G803" s="1" t="s">
        <v>2452</v>
      </c>
      <c r="H803" s="22" t="s">
        <v>1102</v>
      </c>
      <c r="I803" s="1" t="s">
        <v>2965</v>
      </c>
    </row>
    <row r="804" spans="1:9" x14ac:dyDescent="0.25">
      <c r="A804" s="1" t="s">
        <v>2877</v>
      </c>
      <c r="B804" s="1" t="s">
        <v>2966</v>
      </c>
      <c r="C804" s="2">
        <v>44559</v>
      </c>
      <c r="D804" s="24">
        <v>35.5</v>
      </c>
      <c r="E804" s="21">
        <v>42.59</v>
      </c>
      <c r="F804" s="1" t="s">
        <v>2451</v>
      </c>
      <c r="G804" s="1" t="s">
        <v>2452</v>
      </c>
      <c r="H804" s="22" t="s">
        <v>1102</v>
      </c>
      <c r="I804" s="1" t="s">
        <v>2967</v>
      </c>
    </row>
    <row r="805" spans="1:9" x14ac:dyDescent="0.25">
      <c r="A805" s="1" t="s">
        <v>2878</v>
      </c>
      <c r="B805" s="1" t="s">
        <v>2968</v>
      </c>
      <c r="C805" s="2">
        <v>44559</v>
      </c>
      <c r="D805" s="24">
        <v>35.5</v>
      </c>
      <c r="E805" s="21">
        <v>42.59</v>
      </c>
      <c r="F805" s="1" t="s">
        <v>2451</v>
      </c>
      <c r="G805" s="1" t="s">
        <v>2452</v>
      </c>
      <c r="H805" s="22" t="s">
        <v>1102</v>
      </c>
      <c r="I805" s="1" t="s">
        <v>2969</v>
      </c>
    </row>
    <row r="806" spans="1:9" x14ac:dyDescent="0.25">
      <c r="A806" s="1" t="s">
        <v>2879</v>
      </c>
      <c r="B806" s="1" t="s">
        <v>2970</v>
      </c>
      <c r="C806" s="2">
        <v>44559</v>
      </c>
      <c r="D806" s="24">
        <v>390.5</v>
      </c>
      <c r="E806" s="21">
        <v>468.59</v>
      </c>
      <c r="F806" s="1" t="s">
        <v>2451</v>
      </c>
      <c r="G806" s="1" t="s">
        <v>2452</v>
      </c>
      <c r="H806" s="22" t="s">
        <v>1102</v>
      </c>
      <c r="I806" s="1" t="s">
        <v>2971</v>
      </c>
    </row>
    <row r="807" spans="1:9" x14ac:dyDescent="0.25">
      <c r="A807" s="1" t="s">
        <v>2880</v>
      </c>
      <c r="B807" s="1" t="s">
        <v>2972</v>
      </c>
      <c r="C807" s="2">
        <v>44559</v>
      </c>
      <c r="D807" s="24">
        <v>284</v>
      </c>
      <c r="E807" s="21">
        <v>340.8</v>
      </c>
      <c r="F807" s="1" t="s">
        <v>2451</v>
      </c>
      <c r="G807" s="1" t="s">
        <v>2452</v>
      </c>
      <c r="H807" s="22" t="s">
        <v>1102</v>
      </c>
      <c r="I807" s="1" t="s">
        <v>2973</v>
      </c>
    </row>
    <row r="808" spans="1:9" x14ac:dyDescent="0.25">
      <c r="A808" s="1" t="s">
        <v>2881</v>
      </c>
      <c r="B808" s="1" t="s">
        <v>2916</v>
      </c>
      <c r="C808" s="2">
        <v>44559</v>
      </c>
      <c r="D808" s="24">
        <v>284</v>
      </c>
      <c r="E808" s="21">
        <v>340.8</v>
      </c>
      <c r="F808" s="1" t="s">
        <v>2451</v>
      </c>
      <c r="G808" s="1" t="s">
        <v>2452</v>
      </c>
      <c r="H808" s="22" t="s">
        <v>1102</v>
      </c>
      <c r="I808" s="1" t="s">
        <v>2974</v>
      </c>
    </row>
    <row r="809" spans="1:9" x14ac:dyDescent="0.25">
      <c r="A809" s="1" t="s">
        <v>2882</v>
      </c>
      <c r="B809" s="1" t="s">
        <v>2975</v>
      </c>
      <c r="C809" s="2">
        <v>44559</v>
      </c>
      <c r="D809" s="24">
        <v>532.5</v>
      </c>
      <c r="E809" s="21">
        <v>639</v>
      </c>
      <c r="F809" s="1" t="s">
        <v>2451</v>
      </c>
      <c r="G809" s="1" t="s">
        <v>2452</v>
      </c>
      <c r="H809" s="22" t="s">
        <v>1102</v>
      </c>
      <c r="I809" s="1" t="s">
        <v>2976</v>
      </c>
    </row>
    <row r="810" spans="1:9" x14ac:dyDescent="0.25">
      <c r="A810" s="1" t="s">
        <v>2883</v>
      </c>
      <c r="B810" s="1" t="s">
        <v>2977</v>
      </c>
      <c r="C810" s="2">
        <v>44559</v>
      </c>
      <c r="D810" s="24">
        <v>461.5</v>
      </c>
      <c r="E810" s="21">
        <v>553.79999999999995</v>
      </c>
      <c r="F810" s="1" t="s">
        <v>2451</v>
      </c>
      <c r="G810" s="1" t="s">
        <v>2452</v>
      </c>
      <c r="H810" s="22" t="s">
        <v>1102</v>
      </c>
      <c r="I810" s="1" t="s">
        <v>2978</v>
      </c>
    </row>
    <row r="811" spans="1:9" x14ac:dyDescent="0.25">
      <c r="A811" s="1" t="s">
        <v>2884</v>
      </c>
      <c r="B811" s="1" t="s">
        <v>2979</v>
      </c>
      <c r="C811" s="2">
        <v>44559</v>
      </c>
      <c r="D811" s="24">
        <v>390.5</v>
      </c>
      <c r="E811" s="21">
        <v>468.59</v>
      </c>
      <c r="F811" s="1" t="s">
        <v>2451</v>
      </c>
      <c r="G811" s="1" t="s">
        <v>2452</v>
      </c>
      <c r="H811" s="22" t="s">
        <v>1102</v>
      </c>
      <c r="I811" s="1" t="s">
        <v>2980</v>
      </c>
    </row>
    <row r="812" spans="1:9" x14ac:dyDescent="0.25">
      <c r="A812" s="1" t="s">
        <v>2885</v>
      </c>
      <c r="B812" s="1" t="s">
        <v>2981</v>
      </c>
      <c r="C812" s="2">
        <v>44559</v>
      </c>
      <c r="D812" s="24">
        <v>355</v>
      </c>
      <c r="E812" s="21">
        <v>426</v>
      </c>
      <c r="F812" s="1" t="s">
        <v>2451</v>
      </c>
      <c r="G812" s="1" t="s">
        <v>2452</v>
      </c>
      <c r="H812" s="22" t="s">
        <v>1102</v>
      </c>
      <c r="I812" s="1" t="s">
        <v>2982</v>
      </c>
    </row>
    <row r="813" spans="1:9" x14ac:dyDescent="0.25">
      <c r="A813" s="1" t="s">
        <v>2886</v>
      </c>
      <c r="B813" s="1" t="s">
        <v>2983</v>
      </c>
      <c r="C813" s="2">
        <v>44559</v>
      </c>
      <c r="D813" s="24">
        <v>781</v>
      </c>
      <c r="E813" s="21">
        <v>937.19</v>
      </c>
      <c r="F813" s="1" t="s">
        <v>2451</v>
      </c>
      <c r="G813" s="1" t="s">
        <v>2452</v>
      </c>
      <c r="H813" s="22" t="s">
        <v>1102</v>
      </c>
      <c r="I813" s="1" t="s">
        <v>2984</v>
      </c>
    </row>
    <row r="814" spans="1:9" x14ac:dyDescent="0.25">
      <c r="A814" s="1" t="s">
        <v>2887</v>
      </c>
      <c r="B814" s="1" t="s">
        <v>2985</v>
      </c>
      <c r="C814" s="2">
        <v>44559</v>
      </c>
      <c r="D814" s="24">
        <v>887.5</v>
      </c>
      <c r="E814" s="21">
        <v>1065</v>
      </c>
      <c r="F814" s="1" t="s">
        <v>2451</v>
      </c>
      <c r="G814" s="1" t="s">
        <v>2452</v>
      </c>
      <c r="H814" s="22" t="s">
        <v>1102</v>
      </c>
      <c r="I814" s="1" t="s">
        <v>2986</v>
      </c>
    </row>
    <row r="815" spans="1:9" x14ac:dyDescent="0.25">
      <c r="A815" s="1" t="s">
        <v>2888</v>
      </c>
      <c r="B815" s="1" t="s">
        <v>2987</v>
      </c>
      <c r="C815" s="2">
        <v>44559</v>
      </c>
      <c r="D815" s="24">
        <v>852</v>
      </c>
      <c r="E815" s="21">
        <v>1022.41</v>
      </c>
      <c r="F815" s="1" t="s">
        <v>2451</v>
      </c>
      <c r="G815" s="1" t="s">
        <v>2452</v>
      </c>
      <c r="H815" s="22" t="s">
        <v>1102</v>
      </c>
      <c r="I815" s="1" t="s">
        <v>2988</v>
      </c>
    </row>
    <row r="816" spans="1:9" x14ac:dyDescent="0.25">
      <c r="A816" s="1" t="s">
        <v>2889</v>
      </c>
      <c r="B816" s="1" t="s">
        <v>2989</v>
      </c>
      <c r="C816" s="2">
        <v>44559</v>
      </c>
      <c r="D816" s="24">
        <v>2414</v>
      </c>
      <c r="E816" s="21">
        <v>2896.81</v>
      </c>
      <c r="F816" s="1" t="s">
        <v>2451</v>
      </c>
      <c r="G816" s="1" t="s">
        <v>2452</v>
      </c>
      <c r="H816" s="22" t="s">
        <v>1102</v>
      </c>
      <c r="I816" s="1" t="s">
        <v>2990</v>
      </c>
    </row>
    <row r="817" spans="1:9" x14ac:dyDescent="0.25">
      <c r="A817" s="1" t="s">
        <v>2890</v>
      </c>
      <c r="B817" s="1" t="s">
        <v>2991</v>
      </c>
      <c r="C817" s="2">
        <v>44559</v>
      </c>
      <c r="D817" s="24">
        <v>1065</v>
      </c>
      <c r="E817" s="21">
        <v>1278</v>
      </c>
      <c r="F817" s="1" t="s">
        <v>2451</v>
      </c>
      <c r="G817" s="1" t="s">
        <v>2452</v>
      </c>
      <c r="H817" s="22" t="s">
        <v>1102</v>
      </c>
      <c r="I817" s="1" t="s">
        <v>2992</v>
      </c>
    </row>
    <row r="818" spans="1:9" x14ac:dyDescent="0.25">
      <c r="A818" s="1" t="s">
        <v>2891</v>
      </c>
      <c r="B818" s="1" t="s">
        <v>2993</v>
      </c>
      <c r="C818" s="2">
        <v>44559</v>
      </c>
      <c r="D818" s="24">
        <v>781</v>
      </c>
      <c r="E818" s="21">
        <v>937.19</v>
      </c>
      <c r="F818" s="1" t="s">
        <v>2451</v>
      </c>
      <c r="G818" s="1" t="s">
        <v>2452</v>
      </c>
      <c r="H818" s="22" t="s">
        <v>1102</v>
      </c>
      <c r="I818" s="1" t="s">
        <v>2994</v>
      </c>
    </row>
    <row r="819" spans="1:9" x14ac:dyDescent="0.25">
      <c r="A819" s="1" t="s">
        <v>2892</v>
      </c>
      <c r="B819" s="1" t="s">
        <v>2995</v>
      </c>
      <c r="C819" s="2">
        <v>44559</v>
      </c>
      <c r="D819" s="24">
        <v>852</v>
      </c>
      <c r="E819" s="21">
        <v>1022.41</v>
      </c>
      <c r="F819" s="1" t="s">
        <v>2451</v>
      </c>
      <c r="G819" s="1" t="s">
        <v>2452</v>
      </c>
      <c r="H819" s="22" t="s">
        <v>1102</v>
      </c>
      <c r="I819" s="1" t="s">
        <v>2996</v>
      </c>
    </row>
    <row r="820" spans="1:9" x14ac:dyDescent="0.25">
      <c r="A820" s="1" t="s">
        <v>2893</v>
      </c>
      <c r="B820" s="1" t="s">
        <v>2997</v>
      </c>
      <c r="C820" s="2">
        <v>44559</v>
      </c>
      <c r="D820" s="24">
        <v>710</v>
      </c>
      <c r="E820" s="21">
        <v>852</v>
      </c>
      <c r="F820" s="1" t="s">
        <v>2451</v>
      </c>
      <c r="G820" s="1" t="s">
        <v>2452</v>
      </c>
      <c r="H820" s="22" t="s">
        <v>1102</v>
      </c>
      <c r="I820" s="1" t="s">
        <v>2998</v>
      </c>
    </row>
    <row r="821" spans="1:9" x14ac:dyDescent="0.25">
      <c r="A821" s="1" t="s">
        <v>2894</v>
      </c>
      <c r="B821" s="1" t="s">
        <v>2999</v>
      </c>
      <c r="C821" s="2">
        <v>44559</v>
      </c>
      <c r="D821" s="24">
        <v>781</v>
      </c>
      <c r="E821" s="21">
        <v>937.19</v>
      </c>
      <c r="F821" s="1" t="s">
        <v>2451</v>
      </c>
      <c r="G821" s="1" t="s">
        <v>2452</v>
      </c>
      <c r="H821" s="22" t="s">
        <v>1102</v>
      </c>
      <c r="I821" s="1" t="s">
        <v>3000</v>
      </c>
    </row>
    <row r="822" spans="1:9" x14ac:dyDescent="0.25">
      <c r="A822" s="1" t="s">
        <v>2895</v>
      </c>
      <c r="B822" s="1" t="s">
        <v>3001</v>
      </c>
      <c r="C822" s="2">
        <v>44559</v>
      </c>
      <c r="D822" s="24">
        <v>781</v>
      </c>
      <c r="E822" s="21">
        <v>937.19</v>
      </c>
      <c r="F822" s="1" t="s">
        <v>2451</v>
      </c>
      <c r="G822" s="1" t="s">
        <v>2452</v>
      </c>
      <c r="H822" s="22" t="s">
        <v>1102</v>
      </c>
      <c r="I822" s="1" t="s">
        <v>3002</v>
      </c>
    </row>
    <row r="823" spans="1:9" x14ac:dyDescent="0.25">
      <c r="A823" s="1" t="s">
        <v>2896</v>
      </c>
      <c r="B823" s="1" t="s">
        <v>3003</v>
      </c>
      <c r="C823" s="2">
        <v>44559</v>
      </c>
      <c r="D823" s="24">
        <v>1065</v>
      </c>
      <c r="E823" s="21">
        <v>1278</v>
      </c>
      <c r="F823" s="1" t="s">
        <v>2451</v>
      </c>
      <c r="G823" s="1" t="s">
        <v>2452</v>
      </c>
      <c r="H823" s="22" t="s">
        <v>1102</v>
      </c>
      <c r="I823" s="1" t="s">
        <v>3004</v>
      </c>
    </row>
    <row r="824" spans="1:9" x14ac:dyDescent="0.25">
      <c r="A824" s="1" t="s">
        <v>2897</v>
      </c>
      <c r="B824" s="1" t="s">
        <v>3005</v>
      </c>
      <c r="C824" s="2">
        <v>44559</v>
      </c>
      <c r="D824" s="24">
        <v>781</v>
      </c>
      <c r="E824" s="21">
        <v>937.19</v>
      </c>
      <c r="F824" s="1" t="s">
        <v>2451</v>
      </c>
      <c r="G824" s="1" t="s">
        <v>2452</v>
      </c>
      <c r="H824" s="22" t="s">
        <v>1102</v>
      </c>
      <c r="I824" s="1" t="s">
        <v>3006</v>
      </c>
    </row>
    <row r="825" spans="1:9" x14ac:dyDescent="0.25">
      <c r="A825" s="1" t="s">
        <v>2898</v>
      </c>
      <c r="B825" s="1" t="s">
        <v>3007</v>
      </c>
      <c r="C825" s="2">
        <v>44559</v>
      </c>
      <c r="D825" s="24">
        <v>994</v>
      </c>
      <c r="E825" s="21">
        <v>1192.81</v>
      </c>
      <c r="F825" s="1" t="s">
        <v>2451</v>
      </c>
      <c r="G825" s="1" t="s">
        <v>2452</v>
      </c>
      <c r="H825" s="22" t="s">
        <v>1102</v>
      </c>
      <c r="I825" s="1" t="s">
        <v>3008</v>
      </c>
    </row>
    <row r="826" spans="1:9" x14ac:dyDescent="0.25">
      <c r="A826" s="1" t="s">
        <v>2899</v>
      </c>
      <c r="B826" s="1" t="s">
        <v>3009</v>
      </c>
      <c r="C826" s="2">
        <v>44559</v>
      </c>
      <c r="D826" s="24">
        <v>710</v>
      </c>
      <c r="E826" s="21">
        <v>852</v>
      </c>
      <c r="F826" s="1" t="s">
        <v>2451</v>
      </c>
      <c r="G826" s="1" t="s">
        <v>2452</v>
      </c>
      <c r="H826" s="22" t="s">
        <v>1102</v>
      </c>
      <c r="I826" s="1" t="s">
        <v>3010</v>
      </c>
    </row>
    <row r="827" spans="1:9" x14ac:dyDescent="0.25">
      <c r="A827" s="1" t="s">
        <v>2900</v>
      </c>
      <c r="B827" s="1" t="s">
        <v>617</v>
      </c>
      <c r="C827" s="2">
        <v>44560</v>
      </c>
      <c r="D827" s="24">
        <v>66256.86</v>
      </c>
      <c r="E827" s="21">
        <v>79508.23</v>
      </c>
      <c r="F827" s="1" t="s">
        <v>3011</v>
      </c>
      <c r="G827" s="1" t="s">
        <v>3012</v>
      </c>
      <c r="H827" s="22" t="s">
        <v>1102</v>
      </c>
      <c r="I827" s="1" t="s">
        <v>3013</v>
      </c>
    </row>
    <row r="828" spans="1:9" x14ac:dyDescent="0.25">
      <c r="A828" s="1" t="s">
        <v>2901</v>
      </c>
      <c r="B828" s="1" t="s">
        <v>3014</v>
      </c>
      <c r="C828" s="2">
        <v>44560</v>
      </c>
      <c r="D828" s="24">
        <v>1700.83</v>
      </c>
      <c r="E828" s="21">
        <v>2041</v>
      </c>
      <c r="F828" s="1" t="s">
        <v>2493</v>
      </c>
      <c r="G828" s="1" t="s">
        <v>2375</v>
      </c>
      <c r="H828" s="22" t="s">
        <v>3015</v>
      </c>
      <c r="I828" s="1" t="s">
        <v>3016</v>
      </c>
    </row>
    <row r="829" spans="1:9" x14ac:dyDescent="0.25">
      <c r="A829" s="1" t="s">
        <v>2902</v>
      </c>
      <c r="B829" s="1" t="s">
        <v>3019</v>
      </c>
      <c r="C829" s="2">
        <v>44560</v>
      </c>
      <c r="D829" s="24">
        <v>1334.08</v>
      </c>
      <c r="E829" s="21">
        <v>1600.9</v>
      </c>
      <c r="F829" s="1" t="s">
        <v>477</v>
      </c>
      <c r="G829" s="1" t="s">
        <v>1120</v>
      </c>
      <c r="H829" s="22" t="s">
        <v>3017</v>
      </c>
      <c r="I829" s="1" t="s">
        <v>3018</v>
      </c>
    </row>
    <row r="830" spans="1:9" x14ac:dyDescent="0.25">
      <c r="A830" s="1" t="s">
        <v>2903</v>
      </c>
      <c r="B830" s="1" t="s">
        <v>3020</v>
      </c>
      <c r="C830" s="2">
        <v>44560</v>
      </c>
      <c r="D830" s="24">
        <v>2200</v>
      </c>
      <c r="E830" s="21">
        <v>2640</v>
      </c>
      <c r="F830" s="1" t="s">
        <v>3021</v>
      </c>
      <c r="G830" s="1" t="s">
        <v>3022</v>
      </c>
      <c r="H830" s="22" t="s">
        <v>3023</v>
      </c>
      <c r="I830" s="1" t="s">
        <v>3024</v>
      </c>
    </row>
    <row r="831" spans="1:9" x14ac:dyDescent="0.25">
      <c r="A831" s="1" t="s">
        <v>2904</v>
      </c>
      <c r="B831" s="1" t="s">
        <v>3025</v>
      </c>
      <c r="C831" s="2">
        <v>44560</v>
      </c>
      <c r="D831" s="24">
        <v>1200</v>
      </c>
      <c r="E831" s="21">
        <v>1440</v>
      </c>
      <c r="F831" s="1" t="s">
        <v>2808</v>
      </c>
      <c r="G831" s="1" t="s">
        <v>2809</v>
      </c>
      <c r="H831" s="22" t="s">
        <v>3026</v>
      </c>
      <c r="I831" s="1" t="s">
        <v>2811</v>
      </c>
    </row>
    <row r="832" spans="1:9" x14ac:dyDescent="0.25">
      <c r="A832" s="1" t="s">
        <v>2905</v>
      </c>
      <c r="B832" s="1" t="s">
        <v>3027</v>
      </c>
      <c r="C832" s="2">
        <v>44560</v>
      </c>
      <c r="D832" s="24">
        <v>695</v>
      </c>
      <c r="E832" s="21">
        <v>834</v>
      </c>
      <c r="F832" s="1" t="s">
        <v>506</v>
      </c>
      <c r="G832" s="1" t="s">
        <v>1155</v>
      </c>
      <c r="H832" s="22" t="s">
        <v>3028</v>
      </c>
      <c r="I832" s="1" t="s">
        <v>3029</v>
      </c>
    </row>
    <row r="833" spans="1:9" x14ac:dyDescent="0.25">
      <c r="A833" s="1" t="s">
        <v>2906</v>
      </c>
      <c r="B833" s="1" t="s">
        <v>3030</v>
      </c>
      <c r="C833" s="2">
        <v>44560</v>
      </c>
      <c r="D833" s="24">
        <v>1390</v>
      </c>
      <c r="E833" s="21">
        <v>1668</v>
      </c>
      <c r="F833" s="1" t="s">
        <v>488</v>
      </c>
      <c r="G833" s="1" t="s">
        <v>1137</v>
      </c>
      <c r="H833" s="22" t="s">
        <v>3031</v>
      </c>
      <c r="I833" s="1" t="s">
        <v>3032</v>
      </c>
    </row>
    <row r="834" spans="1:9" x14ac:dyDescent="0.25">
      <c r="A834" s="1" t="s">
        <v>2907</v>
      </c>
      <c r="B834" s="1" t="s">
        <v>3033</v>
      </c>
      <c r="C834" s="2">
        <v>44560</v>
      </c>
      <c r="D834" s="24">
        <v>2446.87</v>
      </c>
      <c r="E834" s="21">
        <v>2936.24</v>
      </c>
      <c r="F834" s="1" t="s">
        <v>468</v>
      </c>
      <c r="G834" s="1" t="s">
        <v>1098</v>
      </c>
      <c r="H834" s="22" t="s">
        <v>1189</v>
      </c>
      <c r="I834" s="1" t="s">
        <v>3034</v>
      </c>
    </row>
    <row r="835" spans="1:9" x14ac:dyDescent="0.25">
      <c r="A835" s="1" t="s">
        <v>2908</v>
      </c>
      <c r="B835" s="1" t="s">
        <v>3035</v>
      </c>
      <c r="C835" s="2">
        <v>44560</v>
      </c>
      <c r="D835" s="24">
        <v>2875.67</v>
      </c>
      <c r="E835" s="21">
        <v>3450.8</v>
      </c>
      <c r="F835" s="1" t="s">
        <v>2493</v>
      </c>
      <c r="G835" s="1" t="s">
        <v>2375</v>
      </c>
      <c r="H835" s="22" t="s">
        <v>3036</v>
      </c>
      <c r="I835" s="1" t="s">
        <v>3037</v>
      </c>
    </row>
    <row r="836" spans="1:9" x14ac:dyDescent="0.25">
      <c r="A836" s="1" t="s">
        <v>2909</v>
      </c>
      <c r="B836" s="1" t="s">
        <v>3038</v>
      </c>
      <c r="C836" s="2">
        <v>44560</v>
      </c>
      <c r="D836" s="24">
        <v>4125.3999999999996</v>
      </c>
      <c r="E836" s="21">
        <v>4125.3999999999996</v>
      </c>
      <c r="F836" s="1" t="s">
        <v>3039</v>
      </c>
      <c r="G836" s="1" t="s">
        <v>3040</v>
      </c>
      <c r="H836" s="22" t="s">
        <v>3041</v>
      </c>
      <c r="I836" s="1" t="s">
        <v>3042</v>
      </c>
    </row>
    <row r="837" spans="1:9" x14ac:dyDescent="0.25">
      <c r="A837" s="1" t="s">
        <v>2910</v>
      </c>
      <c r="B837" s="1" t="s">
        <v>3043</v>
      </c>
      <c r="C837" s="2">
        <v>44560</v>
      </c>
      <c r="D837" s="24">
        <v>3185</v>
      </c>
      <c r="E837" s="21">
        <v>3185</v>
      </c>
      <c r="F837" s="1" t="s">
        <v>3044</v>
      </c>
      <c r="G837" s="1" t="s">
        <v>1133</v>
      </c>
      <c r="H837" s="22" t="s">
        <v>3045</v>
      </c>
      <c r="I837" s="1" t="s">
        <v>3046</v>
      </c>
    </row>
    <row r="838" spans="1:9" x14ac:dyDescent="0.25">
      <c r="A838" s="1" t="s">
        <v>2911</v>
      </c>
      <c r="B838" s="1" t="s">
        <v>3047</v>
      </c>
      <c r="C838" s="2">
        <v>44560</v>
      </c>
      <c r="D838" s="24">
        <v>788</v>
      </c>
      <c r="E838" s="21">
        <v>788</v>
      </c>
      <c r="F838" s="1" t="s">
        <v>3044</v>
      </c>
      <c r="G838" s="1" t="s">
        <v>1133</v>
      </c>
      <c r="H838" s="22" t="s">
        <v>3048</v>
      </c>
      <c r="I838" s="1" t="s">
        <v>3049</v>
      </c>
    </row>
    <row r="839" spans="1:9" x14ac:dyDescent="0.25">
      <c r="A839" s="1" t="s">
        <v>2912</v>
      </c>
      <c r="B839" s="1" t="s">
        <v>3050</v>
      </c>
      <c r="C839" s="2">
        <v>44560</v>
      </c>
      <c r="D839" s="24">
        <v>6993.5</v>
      </c>
      <c r="E839" s="21">
        <v>6993.5</v>
      </c>
      <c r="F839" s="1" t="s">
        <v>3044</v>
      </c>
      <c r="G839" s="1" t="s">
        <v>1133</v>
      </c>
      <c r="H839" s="22" t="s">
        <v>3051</v>
      </c>
      <c r="I839" s="1" t="s">
        <v>3052</v>
      </c>
    </row>
    <row r="840" spans="1:9" x14ac:dyDescent="0.25">
      <c r="A840" s="1" t="s">
        <v>3078</v>
      </c>
      <c r="B840" s="1" t="s">
        <v>3173</v>
      </c>
      <c r="C840" s="2">
        <v>44561</v>
      </c>
      <c r="D840" s="24">
        <v>936</v>
      </c>
      <c r="E840" s="21">
        <v>936</v>
      </c>
      <c r="F840" s="1" t="s">
        <v>473</v>
      </c>
      <c r="G840" s="1" t="s">
        <v>1109</v>
      </c>
      <c r="H840" s="22" t="s">
        <v>1110</v>
      </c>
      <c r="I840" s="1" t="s">
        <v>3172</v>
      </c>
    </row>
    <row r="841" spans="1:9" x14ac:dyDescent="0.25">
      <c r="A841" s="1" t="s">
        <v>3079</v>
      </c>
      <c r="B841" s="1" t="s">
        <v>3174</v>
      </c>
      <c r="C841" s="2">
        <v>44561</v>
      </c>
      <c r="D841" s="24">
        <v>37</v>
      </c>
      <c r="E841" s="21">
        <v>37</v>
      </c>
      <c r="F841" s="1" t="s">
        <v>469</v>
      </c>
      <c r="G841" s="4" t="s">
        <v>1100</v>
      </c>
      <c r="H841" s="4" t="s">
        <v>1100</v>
      </c>
      <c r="I841" s="1" t="s">
        <v>1940</v>
      </c>
    </row>
    <row r="842" spans="1:9" x14ac:dyDescent="0.25">
      <c r="A842" s="1" t="s">
        <v>3080</v>
      </c>
      <c r="B842" s="1" t="s">
        <v>3176</v>
      </c>
      <c r="C842" s="2">
        <v>44561</v>
      </c>
      <c r="D842" s="24">
        <v>264</v>
      </c>
      <c r="E842" s="21">
        <v>316.8</v>
      </c>
      <c r="F842" s="1" t="s">
        <v>488</v>
      </c>
      <c r="G842" s="1" t="s">
        <v>1137</v>
      </c>
      <c r="H842" s="22" t="s">
        <v>1138</v>
      </c>
      <c r="I842" s="1" t="s">
        <v>3175</v>
      </c>
    </row>
    <row r="843" spans="1:9" x14ac:dyDescent="0.25">
      <c r="A843" s="1" t="s">
        <v>3081</v>
      </c>
      <c r="B843" s="1" t="s">
        <v>3177</v>
      </c>
      <c r="C843" s="2">
        <v>44561</v>
      </c>
      <c r="D843" s="24">
        <v>13.84</v>
      </c>
      <c r="E843" s="21">
        <v>16.62</v>
      </c>
      <c r="F843" s="1" t="s">
        <v>2451</v>
      </c>
      <c r="G843" s="1" t="s">
        <v>2452</v>
      </c>
      <c r="H843" s="22" t="s">
        <v>1102</v>
      </c>
      <c r="I843" s="1" t="s">
        <v>3178</v>
      </c>
    </row>
    <row r="844" spans="1:9" x14ac:dyDescent="0.25">
      <c r="A844" s="1" t="s">
        <v>3082</v>
      </c>
      <c r="B844" s="1" t="s">
        <v>3179</v>
      </c>
      <c r="C844" s="2">
        <v>44561</v>
      </c>
      <c r="D844" s="24">
        <v>19.84</v>
      </c>
      <c r="E844" s="21">
        <v>23.82</v>
      </c>
      <c r="F844" s="1" t="s">
        <v>2451</v>
      </c>
      <c r="G844" s="1" t="s">
        <v>2452</v>
      </c>
      <c r="H844" s="22" t="s">
        <v>1102</v>
      </c>
      <c r="I844" s="1" t="s">
        <v>3180</v>
      </c>
    </row>
    <row r="845" spans="1:9" x14ac:dyDescent="0.25">
      <c r="A845" s="1" t="s">
        <v>3083</v>
      </c>
      <c r="B845" s="1" t="s">
        <v>3181</v>
      </c>
      <c r="C845" s="2">
        <v>44561</v>
      </c>
      <c r="D845" s="24">
        <v>6.99</v>
      </c>
      <c r="E845" s="21">
        <v>8.39</v>
      </c>
      <c r="F845" s="1" t="s">
        <v>2451</v>
      </c>
      <c r="G845" s="1" t="s">
        <v>2452</v>
      </c>
      <c r="H845" s="22" t="s">
        <v>1102</v>
      </c>
      <c r="I845" s="1" t="s">
        <v>3182</v>
      </c>
    </row>
    <row r="846" spans="1:9" x14ac:dyDescent="0.25">
      <c r="A846" s="1" t="s">
        <v>3084</v>
      </c>
      <c r="B846" s="1" t="s">
        <v>3183</v>
      </c>
      <c r="C846" s="2">
        <v>44561</v>
      </c>
      <c r="D846" s="24">
        <v>29.12</v>
      </c>
      <c r="E846" s="21">
        <v>34.950000000000003</v>
      </c>
      <c r="F846" s="1" t="s">
        <v>2451</v>
      </c>
      <c r="G846" s="1" t="s">
        <v>2452</v>
      </c>
      <c r="H846" s="22" t="s">
        <v>1102</v>
      </c>
      <c r="I846" s="1" t="s">
        <v>3184</v>
      </c>
    </row>
    <row r="847" spans="1:9" x14ac:dyDescent="0.25">
      <c r="A847" s="1" t="s">
        <v>3085</v>
      </c>
      <c r="B847" s="1" t="s">
        <v>3186</v>
      </c>
      <c r="C847" s="2">
        <v>44561</v>
      </c>
      <c r="D847" s="24">
        <v>51.6</v>
      </c>
      <c r="E847" s="21">
        <v>61.92</v>
      </c>
      <c r="F847" s="1" t="s">
        <v>468</v>
      </c>
      <c r="G847" s="1" t="s">
        <v>1098</v>
      </c>
      <c r="H847" s="27" t="s">
        <v>1108</v>
      </c>
      <c r="I847" s="1" t="s">
        <v>3185</v>
      </c>
    </row>
    <row r="848" spans="1:9" x14ac:dyDescent="0.25">
      <c r="A848" s="1" t="s">
        <v>3086</v>
      </c>
      <c r="B848" s="1" t="s">
        <v>3187</v>
      </c>
      <c r="C848" s="2">
        <v>44561</v>
      </c>
      <c r="D848" s="29">
        <f>-12.32</f>
        <v>-12.32</v>
      </c>
      <c r="E848" s="31">
        <f>-14.78</f>
        <v>-14.78</v>
      </c>
      <c r="F848" s="1" t="s">
        <v>468</v>
      </c>
      <c r="G848" s="1" t="s">
        <v>1098</v>
      </c>
      <c r="H848" s="22" t="s">
        <v>1108</v>
      </c>
      <c r="I848" s="1" t="s">
        <v>3188</v>
      </c>
    </row>
    <row r="849" spans="1:9" x14ac:dyDescent="0.25">
      <c r="A849" s="1" t="s">
        <v>3087</v>
      </c>
      <c r="B849" s="1" t="s">
        <v>2191</v>
      </c>
      <c r="C849" s="2">
        <v>44561</v>
      </c>
      <c r="D849" s="24">
        <v>428.8</v>
      </c>
      <c r="E849" s="21">
        <v>514.55999999999995</v>
      </c>
      <c r="F849" s="1" t="s">
        <v>3189</v>
      </c>
      <c r="G849" s="1" t="s">
        <v>3190</v>
      </c>
      <c r="H849" s="22" t="s">
        <v>3191</v>
      </c>
      <c r="I849" s="1" t="s">
        <v>3192</v>
      </c>
    </row>
    <row r="850" spans="1:9" x14ac:dyDescent="0.25">
      <c r="A850" s="1" t="s">
        <v>3088</v>
      </c>
      <c r="B850" s="1" t="s">
        <v>3069</v>
      </c>
      <c r="C850" s="2">
        <v>44561</v>
      </c>
      <c r="D850" s="24">
        <v>1050</v>
      </c>
      <c r="E850" s="21">
        <v>1260</v>
      </c>
      <c r="F850" s="1" t="s">
        <v>2222</v>
      </c>
      <c r="G850" s="1" t="s">
        <v>2223</v>
      </c>
      <c r="H850" s="22" t="s">
        <v>3193</v>
      </c>
      <c r="I850" s="1" t="s">
        <v>3194</v>
      </c>
    </row>
    <row r="851" spans="1:9" x14ac:dyDescent="0.25">
      <c r="A851" s="1" t="s">
        <v>3089</v>
      </c>
      <c r="B851" s="1" t="s">
        <v>3195</v>
      </c>
      <c r="C851" s="2">
        <v>44561</v>
      </c>
      <c r="D851" s="24">
        <v>1973.69</v>
      </c>
      <c r="E851" s="21">
        <v>2368.4299999999998</v>
      </c>
      <c r="F851" s="1" t="s">
        <v>470</v>
      </c>
      <c r="G851" s="1" t="s">
        <v>1101</v>
      </c>
      <c r="H851" s="22" t="s">
        <v>1102</v>
      </c>
      <c r="I851" s="1" t="s">
        <v>3196</v>
      </c>
    </row>
    <row r="852" spans="1:9" x14ac:dyDescent="0.25">
      <c r="A852" s="1" t="s">
        <v>3090</v>
      </c>
      <c r="B852" s="1" t="s">
        <v>3197</v>
      </c>
      <c r="C852" s="2">
        <v>44561</v>
      </c>
      <c r="D852" s="24">
        <v>690.51</v>
      </c>
      <c r="E852" s="21">
        <v>828.61</v>
      </c>
      <c r="F852" s="1" t="s">
        <v>468</v>
      </c>
      <c r="G852" s="1" t="s">
        <v>1098</v>
      </c>
      <c r="H852" s="22" t="s">
        <v>1108</v>
      </c>
      <c r="I852" s="1" t="s">
        <v>3198</v>
      </c>
    </row>
    <row r="853" spans="1:9" x14ac:dyDescent="0.25">
      <c r="A853" s="1" t="s">
        <v>3091</v>
      </c>
      <c r="B853" s="1" t="s">
        <v>3199</v>
      </c>
      <c r="C853" s="2">
        <v>44561</v>
      </c>
      <c r="D853" s="24">
        <v>47.7</v>
      </c>
      <c r="E853" s="21">
        <v>57.24</v>
      </c>
      <c r="F853" s="1" t="s">
        <v>468</v>
      </c>
      <c r="G853" s="1" t="s">
        <v>1098</v>
      </c>
      <c r="H853" s="22" t="s">
        <v>1108</v>
      </c>
      <c r="I853" s="1" t="s">
        <v>3200</v>
      </c>
    </row>
    <row r="854" spans="1:9" x14ac:dyDescent="0.25">
      <c r="A854" s="1" t="s">
        <v>3092</v>
      </c>
      <c r="B854" s="1" t="s">
        <v>3201</v>
      </c>
      <c r="C854" s="2">
        <v>44561</v>
      </c>
      <c r="D854" s="24">
        <v>345.6</v>
      </c>
      <c r="E854" s="21">
        <v>414.72</v>
      </c>
      <c r="F854" s="1" t="s">
        <v>468</v>
      </c>
      <c r="G854" s="1" t="s">
        <v>1098</v>
      </c>
      <c r="H854" s="22" t="s">
        <v>1108</v>
      </c>
      <c r="I854" s="1" t="s">
        <v>3202</v>
      </c>
    </row>
    <row r="855" spans="1:9" x14ac:dyDescent="0.25">
      <c r="A855" s="1" t="s">
        <v>3093</v>
      </c>
      <c r="B855" s="1" t="s">
        <v>3203</v>
      </c>
      <c r="C855" s="2">
        <v>44561</v>
      </c>
      <c r="D855" s="24">
        <v>165.96</v>
      </c>
      <c r="E855" s="21">
        <v>199.15</v>
      </c>
      <c r="F855" s="1" t="s">
        <v>466</v>
      </c>
      <c r="G855" s="1" t="s">
        <v>1105</v>
      </c>
      <c r="H855" s="22" t="s">
        <v>1106</v>
      </c>
      <c r="I855" s="1" t="s">
        <v>3204</v>
      </c>
    </row>
    <row r="856" spans="1:9" x14ac:dyDescent="0.25">
      <c r="A856" s="1" t="s">
        <v>3094</v>
      </c>
      <c r="B856" s="1" t="s">
        <v>3205</v>
      </c>
      <c r="C856" s="2">
        <v>44561</v>
      </c>
      <c r="D856" s="29">
        <f>-2725.9</f>
        <v>-2725.9</v>
      </c>
      <c r="E856" s="31">
        <f>-3271.19</f>
        <v>-3271.19</v>
      </c>
      <c r="F856" s="1" t="s">
        <v>468</v>
      </c>
      <c r="G856" s="1" t="s">
        <v>1098</v>
      </c>
      <c r="H856" s="22" t="s">
        <v>1108</v>
      </c>
      <c r="I856" s="1" t="s">
        <v>3206</v>
      </c>
    </row>
    <row r="857" spans="1:9" x14ac:dyDescent="0.25">
      <c r="A857" s="1" t="s">
        <v>3095</v>
      </c>
      <c r="B857" s="1" t="s">
        <v>3208</v>
      </c>
      <c r="C857" s="2">
        <v>44561</v>
      </c>
      <c r="D857" s="24">
        <v>1736</v>
      </c>
      <c r="E857" s="21">
        <v>2083.1999999999998</v>
      </c>
      <c r="F857" s="1" t="s">
        <v>2597</v>
      </c>
      <c r="G857" s="1" t="s">
        <v>2598</v>
      </c>
      <c r="H857" s="1" t="s">
        <v>1108</v>
      </c>
      <c r="I857" s="1" t="s">
        <v>3207</v>
      </c>
    </row>
    <row r="858" spans="1:9" x14ac:dyDescent="0.25">
      <c r="A858" s="1" t="s">
        <v>3096</v>
      </c>
      <c r="B858" s="1" t="s">
        <v>3220</v>
      </c>
      <c r="C858" s="2">
        <v>44561</v>
      </c>
      <c r="D858" s="24">
        <v>13.65</v>
      </c>
      <c r="E858" s="21">
        <v>16.38</v>
      </c>
      <c r="F858" s="1" t="s">
        <v>504</v>
      </c>
      <c r="G858" s="1" t="s">
        <v>1107</v>
      </c>
      <c r="H858" s="22" t="s">
        <v>1108</v>
      </c>
      <c r="I858" s="1" t="s">
        <v>3213</v>
      </c>
    </row>
    <row r="859" spans="1:9" x14ac:dyDescent="0.25">
      <c r="A859" s="1" t="s">
        <v>3097</v>
      </c>
      <c r="B859" s="1" t="s">
        <v>3218</v>
      </c>
      <c r="C859" s="2">
        <v>44561</v>
      </c>
      <c r="D859" s="24">
        <v>31.2</v>
      </c>
      <c r="E859" s="21">
        <v>31.2</v>
      </c>
      <c r="F859" s="1" t="s">
        <v>468</v>
      </c>
      <c r="G859" s="1" t="s">
        <v>1098</v>
      </c>
      <c r="H859" s="22" t="s">
        <v>1108</v>
      </c>
      <c r="I859" s="1" t="s">
        <v>3219</v>
      </c>
    </row>
    <row r="860" spans="1:9" x14ac:dyDescent="0.25">
      <c r="A860" s="1" t="s">
        <v>3098</v>
      </c>
      <c r="B860" s="1" t="s">
        <v>3216</v>
      </c>
      <c r="C860" s="2">
        <v>44561</v>
      </c>
      <c r="D860" s="24">
        <v>35.549999999999997</v>
      </c>
      <c r="E860" s="21">
        <v>42.66</v>
      </c>
      <c r="F860" s="1" t="s">
        <v>468</v>
      </c>
      <c r="G860" s="1" t="s">
        <v>1098</v>
      </c>
      <c r="H860" s="22" t="s">
        <v>1108</v>
      </c>
      <c r="I860" s="1" t="s">
        <v>3217</v>
      </c>
    </row>
    <row r="861" spans="1:9" x14ac:dyDescent="0.25">
      <c r="A861" s="1" t="s">
        <v>3099</v>
      </c>
      <c r="B861" s="1" t="s">
        <v>3214</v>
      </c>
      <c r="C861" s="2">
        <v>44561</v>
      </c>
      <c r="D861" s="24">
        <v>225.52</v>
      </c>
      <c r="E861" s="21">
        <v>270.63</v>
      </c>
      <c r="F861" s="1" t="s">
        <v>468</v>
      </c>
      <c r="G861" s="1" t="s">
        <v>1098</v>
      </c>
      <c r="H861" s="22" t="s">
        <v>1108</v>
      </c>
      <c r="I861" s="1" t="s">
        <v>3215</v>
      </c>
    </row>
    <row r="862" spans="1:9" x14ac:dyDescent="0.25">
      <c r="A862" s="1" t="s">
        <v>3100</v>
      </c>
      <c r="B862" s="1" t="s">
        <v>3212</v>
      </c>
      <c r="C862" s="2">
        <v>44561</v>
      </c>
      <c r="D862" s="24">
        <v>4.8499999999999996</v>
      </c>
      <c r="E862" s="21">
        <v>5.78</v>
      </c>
      <c r="F862" s="1" t="s">
        <v>504</v>
      </c>
      <c r="G862" s="1" t="s">
        <v>1107</v>
      </c>
      <c r="H862" s="22" t="s">
        <v>1108</v>
      </c>
      <c r="I862" s="1" t="s">
        <v>3213</v>
      </c>
    </row>
    <row r="863" spans="1:9" x14ac:dyDescent="0.25">
      <c r="A863" s="1" t="s">
        <v>3101</v>
      </c>
      <c r="B863" s="1" t="s">
        <v>3210</v>
      </c>
      <c r="C863" s="2">
        <v>44561</v>
      </c>
      <c r="D863" s="24">
        <f>1810.84</f>
        <v>1810.84</v>
      </c>
      <c r="E863" s="21">
        <v>2173.0100000000002</v>
      </c>
      <c r="F863" s="1" t="s">
        <v>468</v>
      </c>
      <c r="G863" s="1" t="s">
        <v>1098</v>
      </c>
      <c r="H863" s="22" t="s">
        <v>1108</v>
      </c>
      <c r="I863" s="1" t="s">
        <v>3211</v>
      </c>
    </row>
    <row r="864" spans="1:9" x14ac:dyDescent="0.25">
      <c r="A864" s="1" t="s">
        <v>3102</v>
      </c>
      <c r="B864" s="1" t="s">
        <v>3209</v>
      </c>
      <c r="C864" s="2">
        <v>44561</v>
      </c>
      <c r="D864" s="24">
        <v>70</v>
      </c>
      <c r="E864" s="21">
        <v>84</v>
      </c>
      <c r="F864" s="1" t="s">
        <v>470</v>
      </c>
      <c r="G864" s="1" t="s">
        <v>1101</v>
      </c>
      <c r="H864" s="22" t="s">
        <v>1102</v>
      </c>
      <c r="I864" s="1" t="s">
        <v>982</v>
      </c>
    </row>
    <row r="865" spans="1:9" x14ac:dyDescent="0.25">
      <c r="A865" s="1" t="s">
        <v>3103</v>
      </c>
      <c r="B865" s="1" t="s">
        <v>3221</v>
      </c>
      <c r="C865" s="2">
        <v>44561</v>
      </c>
      <c r="D865" s="24">
        <v>4331.47</v>
      </c>
      <c r="E865" s="21">
        <v>5197.76</v>
      </c>
      <c r="F865" s="1" t="s">
        <v>468</v>
      </c>
      <c r="G865" s="1" t="s">
        <v>1098</v>
      </c>
      <c r="H865" s="22" t="s">
        <v>1108</v>
      </c>
      <c r="I865" s="1" t="s">
        <v>3222</v>
      </c>
    </row>
    <row r="866" spans="1:9" x14ac:dyDescent="0.25">
      <c r="A866" s="1" t="s">
        <v>3104</v>
      </c>
      <c r="B866" s="1" t="s">
        <v>3223</v>
      </c>
      <c r="C866" s="2">
        <v>44561</v>
      </c>
      <c r="D866" s="24">
        <v>15.11</v>
      </c>
      <c r="E866" s="21">
        <v>18.09</v>
      </c>
      <c r="F866" s="1" t="s">
        <v>504</v>
      </c>
      <c r="G866" s="1" t="s">
        <v>1107</v>
      </c>
      <c r="H866" s="22" t="s">
        <v>1108</v>
      </c>
      <c r="I866" s="1" t="s">
        <v>3213</v>
      </c>
    </row>
    <row r="867" spans="1:9" x14ac:dyDescent="0.25">
      <c r="A867" s="1" t="s">
        <v>3105</v>
      </c>
      <c r="B867" s="1" t="s">
        <v>3224</v>
      </c>
      <c r="C867" s="2">
        <v>44561</v>
      </c>
      <c r="D867" s="24">
        <v>15.11</v>
      </c>
      <c r="E867" s="21">
        <v>18.09</v>
      </c>
      <c r="F867" s="1" t="s">
        <v>504</v>
      </c>
      <c r="G867" s="1" t="s">
        <v>1107</v>
      </c>
      <c r="H867" s="22" t="s">
        <v>1108</v>
      </c>
      <c r="I867" s="1" t="s">
        <v>3213</v>
      </c>
    </row>
    <row r="868" spans="1:9" x14ac:dyDescent="0.25">
      <c r="A868" s="1" t="s">
        <v>3106</v>
      </c>
      <c r="B868" s="1" t="s">
        <v>3226</v>
      </c>
      <c r="C868" s="2">
        <v>44561</v>
      </c>
      <c r="D868" s="24">
        <v>248.43</v>
      </c>
      <c r="E868" s="21">
        <v>298.12</v>
      </c>
      <c r="F868" s="1" t="s">
        <v>504</v>
      </c>
      <c r="G868" s="1" t="s">
        <v>1107</v>
      </c>
      <c r="H868" s="22" t="s">
        <v>1108</v>
      </c>
      <c r="I868" s="1" t="s">
        <v>3213</v>
      </c>
    </row>
    <row r="869" spans="1:9" x14ac:dyDescent="0.25">
      <c r="A869" s="1" t="s">
        <v>3107</v>
      </c>
      <c r="B869" s="1" t="s">
        <v>3225</v>
      </c>
      <c r="C869" s="2">
        <v>44561</v>
      </c>
      <c r="D869" s="24">
        <v>6.06</v>
      </c>
      <c r="E869" s="21">
        <v>7.27</v>
      </c>
      <c r="F869" s="1" t="s">
        <v>504</v>
      </c>
      <c r="G869" s="1" t="s">
        <v>1107</v>
      </c>
      <c r="H869" s="22" t="s">
        <v>1108</v>
      </c>
      <c r="I869" s="1" t="s">
        <v>3213</v>
      </c>
    </row>
    <row r="870" spans="1:9" x14ac:dyDescent="0.25">
      <c r="A870" s="1" t="s">
        <v>3108</v>
      </c>
      <c r="B870" s="1" t="s">
        <v>3227</v>
      </c>
      <c r="C870" s="2">
        <v>44561</v>
      </c>
      <c r="D870" s="24">
        <v>13.48</v>
      </c>
      <c r="E870" s="21">
        <v>16.18</v>
      </c>
      <c r="F870" s="1" t="s">
        <v>504</v>
      </c>
      <c r="G870" s="1" t="s">
        <v>1107</v>
      </c>
      <c r="H870" s="22" t="s">
        <v>1108</v>
      </c>
      <c r="I870" s="1" t="s">
        <v>3213</v>
      </c>
    </row>
    <row r="871" spans="1:9" x14ac:dyDescent="0.25">
      <c r="A871" s="1" t="s">
        <v>3109</v>
      </c>
      <c r="B871" s="1" t="s">
        <v>3228</v>
      </c>
      <c r="C871" s="2">
        <v>44561</v>
      </c>
      <c r="D871" s="24">
        <v>13.65</v>
      </c>
      <c r="E871" s="21">
        <v>16.38</v>
      </c>
      <c r="F871" s="1" t="s">
        <v>504</v>
      </c>
      <c r="G871" s="1" t="s">
        <v>1107</v>
      </c>
      <c r="H871" s="22" t="s">
        <v>1108</v>
      </c>
      <c r="I871" s="1" t="s">
        <v>3213</v>
      </c>
    </row>
    <row r="872" spans="1:9" x14ac:dyDescent="0.25">
      <c r="A872" s="1" t="s">
        <v>3110</v>
      </c>
      <c r="B872" s="1" t="s">
        <v>3229</v>
      </c>
      <c r="C872" s="2">
        <v>44561</v>
      </c>
      <c r="D872" s="24">
        <v>17.48</v>
      </c>
      <c r="E872" s="21">
        <v>21.02</v>
      </c>
      <c r="F872" s="1" t="s">
        <v>504</v>
      </c>
      <c r="G872" s="1" t="s">
        <v>1107</v>
      </c>
      <c r="H872" s="22" t="s">
        <v>1108</v>
      </c>
      <c r="I872" s="1" t="s">
        <v>3213</v>
      </c>
    </row>
    <row r="873" spans="1:9" x14ac:dyDescent="0.25">
      <c r="A873" s="1" t="s">
        <v>3111</v>
      </c>
      <c r="B873" s="1" t="s">
        <v>3230</v>
      </c>
      <c r="C873" s="2">
        <v>44561</v>
      </c>
      <c r="D873" s="24">
        <v>8.01</v>
      </c>
      <c r="E873" s="21">
        <v>9.61</v>
      </c>
      <c r="F873" s="1" t="s">
        <v>504</v>
      </c>
      <c r="G873" s="1" t="s">
        <v>1107</v>
      </c>
      <c r="H873" s="22" t="s">
        <v>1108</v>
      </c>
      <c r="I873" s="1" t="s">
        <v>3213</v>
      </c>
    </row>
    <row r="874" spans="1:9" x14ac:dyDescent="0.25">
      <c r="A874" s="1" t="s">
        <v>3112</v>
      </c>
      <c r="B874" s="1" t="s">
        <v>3231</v>
      </c>
      <c r="C874" s="2">
        <v>44561</v>
      </c>
      <c r="D874" s="24">
        <v>33.32</v>
      </c>
      <c r="E874" s="21">
        <v>39.94</v>
      </c>
      <c r="F874" s="1" t="s">
        <v>504</v>
      </c>
      <c r="G874" s="1" t="s">
        <v>1107</v>
      </c>
      <c r="H874" s="22" t="s">
        <v>1108</v>
      </c>
      <c r="I874" s="1" t="s">
        <v>3213</v>
      </c>
    </row>
    <row r="875" spans="1:9" x14ac:dyDescent="0.25">
      <c r="A875" s="1" t="s">
        <v>3113</v>
      </c>
      <c r="B875" s="1" t="s">
        <v>3232</v>
      </c>
      <c r="C875" s="2">
        <v>44561</v>
      </c>
      <c r="D875" s="24">
        <v>79.599999999999994</v>
      </c>
      <c r="E875" s="21">
        <v>95.56</v>
      </c>
      <c r="F875" s="1" t="s">
        <v>504</v>
      </c>
      <c r="G875" s="1" t="s">
        <v>1107</v>
      </c>
      <c r="H875" s="22" t="s">
        <v>1108</v>
      </c>
      <c r="I875" s="1" t="s">
        <v>3213</v>
      </c>
    </row>
    <row r="876" spans="1:9" x14ac:dyDescent="0.25">
      <c r="A876" s="1" t="s">
        <v>3114</v>
      </c>
      <c r="B876" s="1" t="s">
        <v>3233</v>
      </c>
      <c r="C876" s="2">
        <v>44561</v>
      </c>
      <c r="D876" s="24">
        <v>2.77</v>
      </c>
      <c r="E876" s="21">
        <v>3.28</v>
      </c>
      <c r="F876" s="1" t="s">
        <v>504</v>
      </c>
      <c r="G876" s="1" t="s">
        <v>1107</v>
      </c>
      <c r="H876" s="22" t="s">
        <v>1108</v>
      </c>
      <c r="I876" s="1" t="s">
        <v>3213</v>
      </c>
    </row>
    <row r="877" spans="1:9" x14ac:dyDescent="0.25">
      <c r="A877" s="1" t="s">
        <v>3115</v>
      </c>
      <c r="B877" s="1" t="s">
        <v>3234</v>
      </c>
      <c r="C877" s="2">
        <v>44561</v>
      </c>
      <c r="D877" s="24">
        <v>13.65</v>
      </c>
      <c r="E877" s="21">
        <v>16.38</v>
      </c>
      <c r="F877" s="1" t="s">
        <v>504</v>
      </c>
      <c r="G877" s="1" t="s">
        <v>1107</v>
      </c>
      <c r="H877" s="22" t="s">
        <v>1108</v>
      </c>
      <c r="I877" s="1" t="s">
        <v>3213</v>
      </c>
    </row>
    <row r="878" spans="1:9" x14ac:dyDescent="0.25">
      <c r="A878" s="1" t="s">
        <v>3116</v>
      </c>
      <c r="B878" s="1" t="s">
        <v>3235</v>
      </c>
      <c r="C878" s="2">
        <v>44561</v>
      </c>
      <c r="D878" s="24">
        <v>12.02</v>
      </c>
      <c r="E878" s="21">
        <v>14.47</v>
      </c>
      <c r="F878" s="1" t="s">
        <v>504</v>
      </c>
      <c r="G878" s="1" t="s">
        <v>1107</v>
      </c>
      <c r="H878" s="22" t="s">
        <v>1108</v>
      </c>
      <c r="I878" s="1" t="s">
        <v>3213</v>
      </c>
    </row>
    <row r="879" spans="1:9" x14ac:dyDescent="0.25">
      <c r="A879" s="1" t="s">
        <v>3117</v>
      </c>
      <c r="B879" s="1" t="s">
        <v>3236</v>
      </c>
      <c r="C879" s="2">
        <v>44561</v>
      </c>
      <c r="D879" s="29">
        <f>-21.43</f>
        <v>-21.43</v>
      </c>
      <c r="E879" s="31">
        <f>-25.76</f>
        <v>-25.76</v>
      </c>
      <c r="F879" s="1" t="s">
        <v>504</v>
      </c>
      <c r="G879" s="1" t="s">
        <v>1107</v>
      </c>
      <c r="H879" s="22" t="s">
        <v>1108</v>
      </c>
      <c r="I879" s="1" t="s">
        <v>3213</v>
      </c>
    </row>
    <row r="880" spans="1:9" x14ac:dyDescent="0.25">
      <c r="A880" s="1" t="s">
        <v>3118</v>
      </c>
      <c r="B880" s="1" t="s">
        <v>3237</v>
      </c>
      <c r="C880" s="2">
        <v>44561</v>
      </c>
      <c r="D880" s="29">
        <f>-2.13</f>
        <v>-2.13</v>
      </c>
      <c r="E880" s="31">
        <f>-2.6</f>
        <v>-2.6</v>
      </c>
      <c r="F880" s="1" t="s">
        <v>504</v>
      </c>
      <c r="G880" s="1" t="s">
        <v>1107</v>
      </c>
      <c r="H880" s="22" t="s">
        <v>1108</v>
      </c>
      <c r="I880" s="1" t="s">
        <v>3213</v>
      </c>
    </row>
    <row r="881" spans="1:9" x14ac:dyDescent="0.25">
      <c r="A881" s="1" t="s">
        <v>3119</v>
      </c>
      <c r="B881" s="1" t="s">
        <v>3238</v>
      </c>
      <c r="C881" s="2">
        <v>44561</v>
      </c>
      <c r="D881" s="24">
        <v>4.5199999999999996</v>
      </c>
      <c r="E881" s="21">
        <v>5.38</v>
      </c>
      <c r="F881" s="1" t="s">
        <v>504</v>
      </c>
      <c r="G881" s="1" t="s">
        <v>1107</v>
      </c>
      <c r="H881" s="22" t="s">
        <v>1108</v>
      </c>
      <c r="I881" s="1" t="s">
        <v>3213</v>
      </c>
    </row>
    <row r="882" spans="1:9" x14ac:dyDescent="0.25">
      <c r="A882" s="1" t="s">
        <v>3120</v>
      </c>
      <c r="B882" s="1" t="s">
        <v>3239</v>
      </c>
      <c r="C882" s="2">
        <v>44561</v>
      </c>
      <c r="D882" s="24">
        <v>16.63</v>
      </c>
      <c r="E882" s="21">
        <v>20</v>
      </c>
      <c r="F882" s="1" t="s">
        <v>504</v>
      </c>
      <c r="G882" s="1" t="s">
        <v>1107</v>
      </c>
      <c r="H882" s="22" t="s">
        <v>1108</v>
      </c>
      <c r="I882" s="1" t="s">
        <v>3213</v>
      </c>
    </row>
    <row r="883" spans="1:9" x14ac:dyDescent="0.25">
      <c r="A883" s="1" t="s">
        <v>3121</v>
      </c>
      <c r="B883" s="1" t="s">
        <v>3240</v>
      </c>
      <c r="C883" s="2">
        <v>44561</v>
      </c>
      <c r="D883" s="24">
        <v>12.84</v>
      </c>
      <c r="E883" s="21">
        <v>15.45</v>
      </c>
      <c r="F883" s="1" t="s">
        <v>504</v>
      </c>
      <c r="G883" s="1" t="s">
        <v>1107</v>
      </c>
      <c r="H883" s="22" t="s">
        <v>1108</v>
      </c>
      <c r="I883" s="1" t="s">
        <v>3213</v>
      </c>
    </row>
    <row r="884" spans="1:9" x14ac:dyDescent="0.25">
      <c r="A884" s="1" t="s">
        <v>3122</v>
      </c>
      <c r="B884" s="1" t="s">
        <v>3241</v>
      </c>
      <c r="C884" s="2">
        <v>44561</v>
      </c>
      <c r="D884" s="24">
        <v>6.55</v>
      </c>
      <c r="E884" s="21">
        <v>7.86</v>
      </c>
      <c r="F884" s="1" t="s">
        <v>504</v>
      </c>
      <c r="G884" s="1" t="s">
        <v>1107</v>
      </c>
      <c r="H884" s="22" t="s">
        <v>1108</v>
      </c>
      <c r="I884" s="1" t="s">
        <v>3213</v>
      </c>
    </row>
    <row r="885" spans="1:9" x14ac:dyDescent="0.25">
      <c r="A885" s="1" t="s">
        <v>3123</v>
      </c>
      <c r="B885" s="1" t="s">
        <v>3242</v>
      </c>
      <c r="C885" s="2">
        <v>44561</v>
      </c>
      <c r="D885" s="24">
        <v>12.02</v>
      </c>
      <c r="E885" s="21">
        <v>14.47</v>
      </c>
      <c r="F885" s="1" t="s">
        <v>504</v>
      </c>
      <c r="G885" s="1" t="s">
        <v>1107</v>
      </c>
      <c r="H885" s="22" t="s">
        <v>1108</v>
      </c>
      <c r="I885" s="1" t="s">
        <v>3213</v>
      </c>
    </row>
    <row r="886" spans="1:9" x14ac:dyDescent="0.25">
      <c r="A886" s="1" t="s">
        <v>3124</v>
      </c>
      <c r="B886" s="1" t="s">
        <v>3243</v>
      </c>
      <c r="C886" s="2">
        <v>44561</v>
      </c>
      <c r="D886" s="24">
        <v>14.16</v>
      </c>
      <c r="E886" s="21">
        <v>16.989999999999998</v>
      </c>
      <c r="F886" s="1" t="s">
        <v>504</v>
      </c>
      <c r="G886" s="1" t="s">
        <v>1107</v>
      </c>
      <c r="H886" s="22" t="s">
        <v>1108</v>
      </c>
      <c r="I886" s="1" t="s">
        <v>3213</v>
      </c>
    </row>
    <row r="887" spans="1:9" x14ac:dyDescent="0.25">
      <c r="A887" s="1" t="s">
        <v>3125</v>
      </c>
      <c r="B887" s="1" t="s">
        <v>3244</v>
      </c>
      <c r="C887" s="2">
        <v>44561</v>
      </c>
      <c r="D887" s="24">
        <v>14.17</v>
      </c>
      <c r="E887" s="21">
        <v>16.96</v>
      </c>
      <c r="F887" s="1" t="s">
        <v>504</v>
      </c>
      <c r="G887" s="1" t="s">
        <v>1107</v>
      </c>
      <c r="H887" s="22" t="s">
        <v>1108</v>
      </c>
      <c r="I887" s="1" t="s">
        <v>3213</v>
      </c>
    </row>
    <row r="888" spans="1:9" x14ac:dyDescent="0.25">
      <c r="A888" s="1" t="s">
        <v>3126</v>
      </c>
      <c r="B888" s="1" t="s">
        <v>3245</v>
      </c>
      <c r="C888" s="2">
        <v>44561</v>
      </c>
      <c r="D888" s="24">
        <v>6.02</v>
      </c>
      <c r="E888" s="21">
        <f>7.22</f>
        <v>7.22</v>
      </c>
      <c r="F888" s="1" t="s">
        <v>504</v>
      </c>
      <c r="G888" s="1" t="s">
        <v>1107</v>
      </c>
      <c r="H888" s="22" t="s">
        <v>1108</v>
      </c>
      <c r="I888" s="1" t="s">
        <v>3213</v>
      </c>
    </row>
    <row r="889" spans="1:9" x14ac:dyDescent="0.25">
      <c r="A889" s="1" t="s">
        <v>3127</v>
      </c>
      <c r="B889" s="1" t="s">
        <v>3246</v>
      </c>
      <c r="C889" s="2">
        <v>44561</v>
      </c>
      <c r="D889" s="24">
        <v>2208.25</v>
      </c>
      <c r="E889" s="21">
        <v>2649.9</v>
      </c>
      <c r="F889" s="1" t="s">
        <v>475</v>
      </c>
      <c r="G889" s="1" t="s">
        <v>1115</v>
      </c>
      <c r="H889" s="1" t="s">
        <v>1116</v>
      </c>
      <c r="I889" s="1" t="s">
        <v>3247</v>
      </c>
    </row>
    <row r="890" spans="1:9" x14ac:dyDescent="0.25">
      <c r="A890" s="1" t="s">
        <v>3128</v>
      </c>
      <c r="B890" s="1" t="s">
        <v>3248</v>
      </c>
      <c r="C890" s="2">
        <v>44561</v>
      </c>
      <c r="D890" s="29">
        <v>-435.93</v>
      </c>
      <c r="E890" s="31">
        <v>-523.12</v>
      </c>
      <c r="F890" s="1" t="s">
        <v>468</v>
      </c>
      <c r="G890" s="1" t="s">
        <v>1098</v>
      </c>
      <c r="H890" s="22" t="s">
        <v>1108</v>
      </c>
      <c r="I890" s="1" t="s">
        <v>3249</v>
      </c>
    </row>
    <row r="891" spans="1:9" x14ac:dyDescent="0.25">
      <c r="A891" s="1" t="s">
        <v>3129</v>
      </c>
      <c r="B891" s="1" t="s">
        <v>3250</v>
      </c>
      <c r="C891" s="2">
        <v>44561</v>
      </c>
      <c r="D891" s="24">
        <v>20</v>
      </c>
      <c r="E891" s="21">
        <v>24</v>
      </c>
      <c r="F891" s="1" t="s">
        <v>468</v>
      </c>
      <c r="G891" s="1" t="s">
        <v>1098</v>
      </c>
      <c r="H891" s="22" t="s">
        <v>1108</v>
      </c>
      <c r="I891" s="1" t="s">
        <v>3251</v>
      </c>
    </row>
    <row r="892" spans="1:9" x14ac:dyDescent="0.25">
      <c r="A892" s="1" t="s">
        <v>3130</v>
      </c>
      <c r="B892" s="1" t="s">
        <v>3254</v>
      </c>
      <c r="C892" s="2">
        <v>44561</v>
      </c>
      <c r="D892" s="29">
        <v>-123.82</v>
      </c>
      <c r="E892" s="31">
        <v>-148.58000000000001</v>
      </c>
      <c r="F892" s="1" t="s">
        <v>468</v>
      </c>
      <c r="G892" s="1" t="s">
        <v>1098</v>
      </c>
      <c r="H892" s="22" t="s">
        <v>1108</v>
      </c>
      <c r="I892" s="1" t="s">
        <v>3255</v>
      </c>
    </row>
    <row r="893" spans="1:9" x14ac:dyDescent="0.25">
      <c r="A893" s="1" t="s">
        <v>3131</v>
      </c>
      <c r="B893" s="1" t="s">
        <v>3256</v>
      </c>
      <c r="C893" s="2">
        <v>44561</v>
      </c>
      <c r="D893" s="24">
        <v>138.33000000000001</v>
      </c>
      <c r="E893" s="21">
        <v>165.99</v>
      </c>
      <c r="F893" s="1" t="s">
        <v>468</v>
      </c>
      <c r="G893" s="1" t="s">
        <v>1098</v>
      </c>
      <c r="H893" s="22" t="s">
        <v>1108</v>
      </c>
      <c r="I893" s="1" t="s">
        <v>3257</v>
      </c>
    </row>
    <row r="894" spans="1:9" x14ac:dyDescent="0.25">
      <c r="A894" s="1" t="s">
        <v>3132</v>
      </c>
      <c r="B894" s="1" t="s">
        <v>3258</v>
      </c>
      <c r="C894" s="2">
        <v>44561</v>
      </c>
      <c r="D894" s="24">
        <v>2921.07</v>
      </c>
      <c r="E894" s="21">
        <v>3505.28</v>
      </c>
      <c r="F894" s="1" t="s">
        <v>468</v>
      </c>
      <c r="G894" s="1" t="s">
        <v>1098</v>
      </c>
      <c r="H894" s="22" t="s">
        <v>1108</v>
      </c>
      <c r="I894" s="1" t="s">
        <v>3259</v>
      </c>
    </row>
    <row r="895" spans="1:9" x14ac:dyDescent="0.25">
      <c r="A895" s="1" t="s">
        <v>3133</v>
      </c>
      <c r="B895" s="1" t="s">
        <v>3252</v>
      </c>
      <c r="C895" s="2">
        <v>44561</v>
      </c>
      <c r="D895" s="24">
        <v>857.5</v>
      </c>
      <c r="E895" s="21">
        <v>1029</v>
      </c>
      <c r="F895" s="1" t="s">
        <v>468</v>
      </c>
      <c r="G895" s="1" t="s">
        <v>1098</v>
      </c>
      <c r="H895" s="22" t="s">
        <v>1108</v>
      </c>
      <c r="I895" s="1" t="s">
        <v>3253</v>
      </c>
    </row>
    <row r="896" spans="1:9" x14ac:dyDescent="0.25">
      <c r="A896" s="1" t="s">
        <v>3134</v>
      </c>
      <c r="B896" s="1" t="s">
        <v>3260</v>
      </c>
      <c r="C896" s="2">
        <v>44561</v>
      </c>
      <c r="D896" s="24">
        <v>1112.4000000000001</v>
      </c>
      <c r="E896" s="21">
        <v>1334.88</v>
      </c>
      <c r="F896" s="1" t="s">
        <v>468</v>
      </c>
      <c r="G896" s="1" t="s">
        <v>1098</v>
      </c>
      <c r="H896" s="22" t="s">
        <v>1108</v>
      </c>
      <c r="I896" s="1" t="s">
        <v>3261</v>
      </c>
    </row>
    <row r="897" spans="1:9" x14ac:dyDescent="0.25">
      <c r="A897" s="1" t="s">
        <v>3135</v>
      </c>
      <c r="B897" s="1" t="s">
        <v>3262</v>
      </c>
      <c r="C897" s="2">
        <v>44561</v>
      </c>
      <c r="D897" s="24">
        <v>3095.96</v>
      </c>
      <c r="E897" s="21">
        <v>3715.15</v>
      </c>
      <c r="F897" s="1" t="s">
        <v>468</v>
      </c>
      <c r="G897" s="1" t="s">
        <v>1098</v>
      </c>
      <c r="H897" s="22" t="s">
        <v>1108</v>
      </c>
      <c r="I897" s="1" t="s">
        <v>3263</v>
      </c>
    </row>
    <row r="898" spans="1:9" x14ac:dyDescent="0.25">
      <c r="A898" s="1" t="s">
        <v>3136</v>
      </c>
      <c r="B898" s="1" t="s">
        <v>3264</v>
      </c>
      <c r="C898" s="2">
        <v>44561</v>
      </c>
      <c r="D898" s="24">
        <v>39401.089999999997</v>
      </c>
      <c r="E898" s="21">
        <v>47281.31</v>
      </c>
      <c r="F898" s="1" t="s">
        <v>468</v>
      </c>
      <c r="G898" s="1" t="s">
        <v>1098</v>
      </c>
      <c r="H898" s="22" t="s">
        <v>1108</v>
      </c>
      <c r="I898" s="1" t="s">
        <v>3265</v>
      </c>
    </row>
    <row r="899" spans="1:9" x14ac:dyDescent="0.25">
      <c r="A899" s="1" t="s">
        <v>3137</v>
      </c>
      <c r="B899" s="1" t="s">
        <v>3266</v>
      </c>
      <c r="C899" s="2">
        <v>44561</v>
      </c>
      <c r="D899" s="24">
        <v>2519.2800000000002</v>
      </c>
      <c r="E899" s="21">
        <v>3023.13</v>
      </c>
      <c r="F899" s="1" t="s">
        <v>468</v>
      </c>
      <c r="G899" s="1" t="s">
        <v>1098</v>
      </c>
      <c r="H899" s="22" t="s">
        <v>1108</v>
      </c>
      <c r="I899" s="1" t="s">
        <v>3267</v>
      </c>
    </row>
    <row r="900" spans="1:9" x14ac:dyDescent="0.25">
      <c r="A900" s="1" t="s">
        <v>3138</v>
      </c>
      <c r="B900" s="1" t="s">
        <v>3268</v>
      </c>
      <c r="C900" s="2">
        <v>44561</v>
      </c>
      <c r="D900" s="24">
        <v>563.5</v>
      </c>
      <c r="E900" s="21">
        <v>676.2</v>
      </c>
      <c r="F900" s="1" t="s">
        <v>468</v>
      </c>
      <c r="G900" s="1" t="s">
        <v>1098</v>
      </c>
      <c r="H900" s="22" t="s">
        <v>1108</v>
      </c>
      <c r="I900" s="1" t="s">
        <v>2425</v>
      </c>
    </row>
    <row r="901" spans="1:9" x14ac:dyDescent="0.25">
      <c r="A901" s="1" t="s">
        <v>3139</v>
      </c>
      <c r="B901" s="1" t="s">
        <v>3269</v>
      </c>
      <c r="C901" s="2">
        <v>44561</v>
      </c>
      <c r="D901" s="24">
        <v>65.599999999999994</v>
      </c>
      <c r="E901" s="21">
        <v>78.72</v>
      </c>
      <c r="F901" s="1" t="s">
        <v>468</v>
      </c>
      <c r="G901" s="1" t="s">
        <v>1098</v>
      </c>
      <c r="H901" s="22" t="s">
        <v>1108</v>
      </c>
      <c r="I901" s="1" t="s">
        <v>3270</v>
      </c>
    </row>
    <row r="902" spans="1:9" x14ac:dyDescent="0.25">
      <c r="A902" s="1" t="s">
        <v>3140</v>
      </c>
      <c r="B902" s="1" t="s">
        <v>3271</v>
      </c>
      <c r="C902" s="2">
        <v>44561</v>
      </c>
      <c r="D902" s="24">
        <v>68</v>
      </c>
      <c r="E902" s="21">
        <v>81.599999999999994</v>
      </c>
      <c r="F902" s="1" t="s">
        <v>468</v>
      </c>
      <c r="G902" s="1" t="s">
        <v>1098</v>
      </c>
      <c r="H902" s="22" t="s">
        <v>1108</v>
      </c>
      <c r="I902" s="1" t="s">
        <v>3272</v>
      </c>
    </row>
    <row r="903" spans="1:9" x14ac:dyDescent="0.25">
      <c r="A903" s="1" t="s">
        <v>3141</v>
      </c>
      <c r="B903" s="1" t="s">
        <v>3274</v>
      </c>
      <c r="C903" s="2">
        <v>44561</v>
      </c>
      <c r="D903" s="24">
        <v>2055.73</v>
      </c>
      <c r="E903" s="21">
        <v>2466.88</v>
      </c>
      <c r="F903" s="1" t="s">
        <v>468</v>
      </c>
      <c r="G903" s="1" t="s">
        <v>1098</v>
      </c>
      <c r="H903" s="22" t="s">
        <v>1108</v>
      </c>
      <c r="I903" s="1" t="s">
        <v>3275</v>
      </c>
    </row>
    <row r="904" spans="1:9" x14ac:dyDescent="0.25">
      <c r="A904" s="1" t="s">
        <v>3142</v>
      </c>
      <c r="B904" s="1" t="s">
        <v>3273</v>
      </c>
      <c r="C904" s="2">
        <v>44561</v>
      </c>
      <c r="D904" s="24">
        <v>2805.72</v>
      </c>
      <c r="E904" s="21">
        <v>3366.86</v>
      </c>
      <c r="F904" s="1" t="s">
        <v>468</v>
      </c>
      <c r="G904" s="1" t="s">
        <v>1098</v>
      </c>
      <c r="H904" s="22" t="s">
        <v>1108</v>
      </c>
      <c r="I904" s="1" t="s">
        <v>1431</v>
      </c>
    </row>
    <row r="905" spans="1:9" x14ac:dyDescent="0.25">
      <c r="A905" s="1" t="s">
        <v>3143</v>
      </c>
      <c r="B905" s="1" t="s">
        <v>3277</v>
      </c>
      <c r="C905" s="2">
        <v>44561</v>
      </c>
      <c r="D905" s="24">
        <v>450</v>
      </c>
      <c r="E905" s="21">
        <v>450</v>
      </c>
      <c r="F905" s="1" t="s">
        <v>3276</v>
      </c>
      <c r="G905" s="1" t="s">
        <v>1100</v>
      </c>
      <c r="H905" s="22" t="s">
        <v>1108</v>
      </c>
      <c r="I905" s="1" t="s">
        <v>3278</v>
      </c>
    </row>
    <row r="906" spans="1:9" x14ac:dyDescent="0.25">
      <c r="A906" s="1" t="s">
        <v>3144</v>
      </c>
      <c r="B906" s="1" t="s">
        <v>3280</v>
      </c>
      <c r="C906" s="2">
        <v>44561</v>
      </c>
      <c r="D906" s="29">
        <v>-188</v>
      </c>
      <c r="E906" s="31">
        <v>-188</v>
      </c>
      <c r="F906" s="1" t="s">
        <v>1991</v>
      </c>
      <c r="G906" s="22" t="s">
        <v>1992</v>
      </c>
      <c r="H906" s="22" t="s">
        <v>1108</v>
      </c>
      <c r="I906" s="1" t="s">
        <v>3279</v>
      </c>
    </row>
    <row r="907" spans="1:9" x14ac:dyDescent="0.25">
      <c r="A907" s="1" t="s">
        <v>3145</v>
      </c>
      <c r="B907" s="1" t="s">
        <v>3281</v>
      </c>
      <c r="C907" s="2">
        <v>44561</v>
      </c>
      <c r="D907" s="24">
        <v>1</v>
      </c>
      <c r="E907" s="21">
        <v>1</v>
      </c>
      <c r="F907" s="1" t="s">
        <v>473</v>
      </c>
      <c r="G907" s="1" t="s">
        <v>1109</v>
      </c>
      <c r="H907" s="22" t="s">
        <v>1108</v>
      </c>
      <c r="I907" s="1" t="s">
        <v>3283</v>
      </c>
    </row>
    <row r="908" spans="1:9" x14ac:dyDescent="0.25">
      <c r="A908" s="1" t="s">
        <v>3146</v>
      </c>
      <c r="B908" s="1" t="s">
        <v>3282</v>
      </c>
      <c r="C908" s="2">
        <v>44561</v>
      </c>
      <c r="D908" s="24">
        <v>144</v>
      </c>
      <c r="E908" s="21">
        <v>144</v>
      </c>
      <c r="F908" s="1" t="s">
        <v>479</v>
      </c>
      <c r="G908" s="22" t="s">
        <v>1124</v>
      </c>
      <c r="H908" s="22" t="s">
        <v>1108</v>
      </c>
      <c r="I908" s="1" t="s">
        <v>3284</v>
      </c>
    </row>
    <row r="909" spans="1:9" x14ac:dyDescent="0.25">
      <c r="A909" s="1" t="s">
        <v>3147</v>
      </c>
      <c r="B909" s="1" t="s">
        <v>3285</v>
      </c>
      <c r="C909" s="2">
        <v>44561</v>
      </c>
      <c r="D909" s="24">
        <v>24231.67</v>
      </c>
      <c r="E909" s="21">
        <v>29078</v>
      </c>
      <c r="F909" s="1" t="s">
        <v>475</v>
      </c>
      <c r="G909" s="1" t="s">
        <v>1115</v>
      </c>
      <c r="H909" s="1" t="s">
        <v>1116</v>
      </c>
      <c r="I909" s="1" t="s">
        <v>3288</v>
      </c>
    </row>
    <row r="910" spans="1:9" x14ac:dyDescent="0.25">
      <c r="A910" s="1" t="s">
        <v>3148</v>
      </c>
      <c r="B910" s="1" t="s">
        <v>3286</v>
      </c>
      <c r="C910" s="2">
        <v>44561</v>
      </c>
      <c r="D910" s="24">
        <v>36352.5</v>
      </c>
      <c r="E910" s="21">
        <v>43623</v>
      </c>
      <c r="F910" s="1" t="s">
        <v>475</v>
      </c>
      <c r="G910" s="1" t="s">
        <v>1115</v>
      </c>
      <c r="H910" s="1" t="s">
        <v>1116</v>
      </c>
      <c r="I910" s="1" t="s">
        <v>3289</v>
      </c>
    </row>
    <row r="911" spans="1:9" x14ac:dyDescent="0.25">
      <c r="A911" s="1" t="s">
        <v>3149</v>
      </c>
      <c r="B911" s="1" t="s">
        <v>3287</v>
      </c>
      <c r="C911" s="2">
        <v>44561</v>
      </c>
      <c r="D911" s="24">
        <v>48769.17</v>
      </c>
      <c r="E911" s="21">
        <v>58523</v>
      </c>
      <c r="F911" s="1" t="s">
        <v>475</v>
      </c>
      <c r="G911" s="1" t="s">
        <v>1115</v>
      </c>
      <c r="H911" s="1" t="s">
        <v>1116</v>
      </c>
      <c r="I911" s="1" t="s">
        <v>3290</v>
      </c>
    </row>
    <row r="912" spans="1:9" x14ac:dyDescent="0.25">
      <c r="A912" s="1" t="s">
        <v>382</v>
      </c>
      <c r="B912" s="1" t="s">
        <v>898</v>
      </c>
      <c r="C912" s="2">
        <v>44219</v>
      </c>
      <c r="D912" s="6">
        <f>1268.33</f>
        <v>1268.33</v>
      </c>
      <c r="E912" s="6">
        <v>1522</v>
      </c>
      <c r="F912" s="1" t="s">
        <v>468</v>
      </c>
      <c r="G912" s="1" t="s">
        <v>1098</v>
      </c>
      <c r="H912" s="27" t="s">
        <v>1108</v>
      </c>
      <c r="I912" s="1" t="s">
        <v>1014</v>
      </c>
    </row>
    <row r="913" spans="1:9" x14ac:dyDescent="0.25">
      <c r="A913" s="1" t="s">
        <v>383</v>
      </c>
      <c r="B913" s="1" t="s">
        <v>899</v>
      </c>
      <c r="C913" s="2">
        <v>44227</v>
      </c>
      <c r="D913" s="6">
        <f>1700</f>
        <v>1700</v>
      </c>
      <c r="E913" s="6">
        <v>2040</v>
      </c>
      <c r="F913" s="1" t="s">
        <v>468</v>
      </c>
      <c r="G913" s="1" t="s">
        <v>1098</v>
      </c>
      <c r="H913" s="22" t="s">
        <v>1189</v>
      </c>
      <c r="I913" s="1" t="s">
        <v>1015</v>
      </c>
    </row>
    <row r="914" spans="1:9" x14ac:dyDescent="0.25">
      <c r="A914" s="1" t="s">
        <v>384</v>
      </c>
      <c r="B914" s="1" t="s">
        <v>900</v>
      </c>
      <c r="C914" s="2">
        <v>44230</v>
      </c>
      <c r="D914" s="6">
        <f>1268.33</f>
        <v>1268.33</v>
      </c>
      <c r="E914" s="6">
        <v>1522</v>
      </c>
      <c r="F914" s="1" t="s">
        <v>468</v>
      </c>
      <c r="G914" s="1" t="s">
        <v>1098</v>
      </c>
      <c r="H914" s="27" t="s">
        <v>1108</v>
      </c>
      <c r="I914" s="1" t="s">
        <v>1016</v>
      </c>
    </row>
    <row r="915" spans="1:9" x14ac:dyDescent="0.25">
      <c r="A915" s="1" t="s">
        <v>385</v>
      </c>
      <c r="B915" s="1" t="s">
        <v>901</v>
      </c>
      <c r="C915" s="2">
        <v>44236</v>
      </c>
      <c r="D915" s="6">
        <f>200</f>
        <v>200</v>
      </c>
      <c r="E915" s="6">
        <v>240</v>
      </c>
      <c r="F915" s="1" t="s">
        <v>468</v>
      </c>
      <c r="G915" s="1" t="s">
        <v>1098</v>
      </c>
      <c r="H915" s="27" t="s">
        <v>1108</v>
      </c>
      <c r="I915" s="1" t="s">
        <v>1017</v>
      </c>
    </row>
    <row r="916" spans="1:9" x14ac:dyDescent="0.25">
      <c r="A916" s="1" t="s">
        <v>386</v>
      </c>
      <c r="B916" s="1" t="s">
        <v>902</v>
      </c>
      <c r="C916" s="2">
        <v>44239</v>
      </c>
      <c r="D916" s="6">
        <f>126</f>
        <v>126</v>
      </c>
      <c r="E916" s="6">
        <v>151.19999999999999</v>
      </c>
      <c r="F916" s="1" t="s">
        <v>499</v>
      </c>
      <c r="G916" s="1" t="s">
        <v>1148</v>
      </c>
      <c r="H916" s="22" t="s">
        <v>1971</v>
      </c>
      <c r="I916" s="1" t="s">
        <v>1487</v>
      </c>
    </row>
    <row r="917" spans="1:9" x14ac:dyDescent="0.25">
      <c r="A917" s="1" t="s">
        <v>387</v>
      </c>
      <c r="B917" s="1" t="s">
        <v>903</v>
      </c>
      <c r="C917" s="2">
        <v>44255</v>
      </c>
      <c r="D917" s="6">
        <f>1700</f>
        <v>1700</v>
      </c>
      <c r="E917" s="6">
        <v>2040</v>
      </c>
      <c r="F917" s="1" t="s">
        <v>468</v>
      </c>
      <c r="G917" s="1" t="s">
        <v>1098</v>
      </c>
      <c r="H917" s="22" t="s">
        <v>1189</v>
      </c>
      <c r="I917" s="1" t="s">
        <v>1018</v>
      </c>
    </row>
    <row r="918" spans="1:9" x14ac:dyDescent="0.25">
      <c r="A918" s="1" t="s">
        <v>388</v>
      </c>
      <c r="B918" s="1" t="s">
        <v>904</v>
      </c>
      <c r="C918" s="2">
        <v>44257</v>
      </c>
      <c r="D918" s="6">
        <f>1268.33</f>
        <v>1268.33</v>
      </c>
      <c r="E918" s="6">
        <v>1522</v>
      </c>
      <c r="F918" s="1" t="s">
        <v>468</v>
      </c>
      <c r="G918" s="1" t="s">
        <v>1098</v>
      </c>
      <c r="H918" s="27" t="s">
        <v>1108</v>
      </c>
      <c r="I918" s="1" t="s">
        <v>1016</v>
      </c>
    </row>
    <row r="919" spans="1:9" x14ac:dyDescent="0.25">
      <c r="A919" s="1" t="s">
        <v>389</v>
      </c>
      <c r="B919" s="1" t="s">
        <v>905</v>
      </c>
      <c r="C919" s="2">
        <v>44277</v>
      </c>
      <c r="D919" s="6">
        <f>19.17</f>
        <v>19.170000000000002</v>
      </c>
      <c r="E919" s="6">
        <v>23</v>
      </c>
      <c r="F919" s="1" t="s">
        <v>468</v>
      </c>
      <c r="G919" s="1" t="s">
        <v>1098</v>
      </c>
      <c r="H919" s="22" t="s">
        <v>1967</v>
      </c>
      <c r="I919" s="1" t="s">
        <v>1488</v>
      </c>
    </row>
    <row r="920" spans="1:9" x14ac:dyDescent="0.25">
      <c r="A920" s="1" t="s">
        <v>390</v>
      </c>
      <c r="B920" s="1" t="s">
        <v>906</v>
      </c>
      <c r="C920" s="2">
        <v>44279</v>
      </c>
      <c r="D920" s="6">
        <f>200</f>
        <v>200</v>
      </c>
      <c r="E920" s="6">
        <v>240</v>
      </c>
      <c r="F920" s="1" t="s">
        <v>468</v>
      </c>
      <c r="G920" s="1" t="s">
        <v>1098</v>
      </c>
      <c r="H920" s="27" t="s">
        <v>1108</v>
      </c>
      <c r="I920" s="1" t="s">
        <v>1019</v>
      </c>
    </row>
    <row r="921" spans="1:9" x14ac:dyDescent="0.25">
      <c r="A921" s="1" t="s">
        <v>391</v>
      </c>
      <c r="B921" s="1" t="s">
        <v>907</v>
      </c>
      <c r="C921" s="2">
        <v>44286</v>
      </c>
      <c r="D921" s="6">
        <f>1700</f>
        <v>1700</v>
      </c>
      <c r="E921" s="6">
        <v>2040</v>
      </c>
      <c r="F921" s="1" t="s">
        <v>468</v>
      </c>
      <c r="G921" s="1" t="s">
        <v>1098</v>
      </c>
      <c r="H921" s="22" t="s">
        <v>1189</v>
      </c>
      <c r="I921" s="1" t="s">
        <v>1020</v>
      </c>
    </row>
    <row r="922" spans="1:9" x14ac:dyDescent="0.25">
      <c r="A922" s="1" t="s">
        <v>392</v>
      </c>
      <c r="B922" s="1" t="s">
        <v>908</v>
      </c>
      <c r="C922" s="2">
        <v>44293</v>
      </c>
      <c r="D922" s="6">
        <f>1268.33</f>
        <v>1268.33</v>
      </c>
      <c r="E922" s="6">
        <v>1522</v>
      </c>
      <c r="F922" s="1" t="s">
        <v>468</v>
      </c>
      <c r="G922" s="1" t="s">
        <v>1098</v>
      </c>
      <c r="H922" s="27" t="s">
        <v>1108</v>
      </c>
      <c r="I922" s="1" t="s">
        <v>1021</v>
      </c>
    </row>
    <row r="923" spans="1:9" x14ac:dyDescent="0.25">
      <c r="A923" s="1" t="s">
        <v>393</v>
      </c>
      <c r="B923" s="1" t="s">
        <v>909</v>
      </c>
      <c r="C923" s="2">
        <v>44293</v>
      </c>
      <c r="D923" s="6">
        <f>295</f>
        <v>295</v>
      </c>
      <c r="E923" s="6">
        <v>354</v>
      </c>
      <c r="F923" s="1" t="s">
        <v>500</v>
      </c>
      <c r="G923" s="4" t="s">
        <v>1100</v>
      </c>
      <c r="H923" s="22" t="s">
        <v>1149</v>
      </c>
      <c r="I923" s="1" t="s">
        <v>1022</v>
      </c>
    </row>
    <row r="924" spans="1:9" x14ac:dyDescent="0.25">
      <c r="A924" s="1" t="s">
        <v>395</v>
      </c>
      <c r="B924" s="1" t="s">
        <v>911</v>
      </c>
      <c r="C924" s="2">
        <v>44307</v>
      </c>
      <c r="D924" s="6">
        <f>200</f>
        <v>200</v>
      </c>
      <c r="E924" s="6">
        <v>240</v>
      </c>
      <c r="F924" s="1" t="s">
        <v>468</v>
      </c>
      <c r="G924" s="1" t="s">
        <v>1098</v>
      </c>
      <c r="H924" s="27" t="s">
        <v>1108</v>
      </c>
      <c r="I924" s="1" t="s">
        <v>1024</v>
      </c>
    </row>
    <row r="925" spans="1:9" x14ac:dyDescent="0.25">
      <c r="A925" s="1" t="s">
        <v>394</v>
      </c>
      <c r="B925" s="1" t="s">
        <v>910</v>
      </c>
      <c r="C925" s="2">
        <v>44300</v>
      </c>
      <c r="D925" s="6">
        <f>67.84</f>
        <v>67.84</v>
      </c>
      <c r="E925" s="6">
        <v>81.41</v>
      </c>
      <c r="F925" s="1" t="s">
        <v>495</v>
      </c>
      <c r="G925" s="1" t="s">
        <v>1198</v>
      </c>
      <c r="H925" s="22" t="s">
        <v>1199</v>
      </c>
      <c r="I925" s="1" t="s">
        <v>1023</v>
      </c>
    </row>
    <row r="926" spans="1:9" x14ac:dyDescent="0.25">
      <c r="A926" s="1" t="s">
        <v>396</v>
      </c>
      <c r="B926" s="1" t="s">
        <v>912</v>
      </c>
      <c r="C926" s="2">
        <v>44316</v>
      </c>
      <c r="D926" s="6">
        <f>1700</f>
        <v>1700</v>
      </c>
      <c r="E926" s="6">
        <v>2040</v>
      </c>
      <c r="F926" s="1" t="s">
        <v>468</v>
      </c>
      <c r="G926" s="1" t="s">
        <v>1098</v>
      </c>
      <c r="H926" s="22" t="s">
        <v>1189</v>
      </c>
      <c r="I926" s="1" t="s">
        <v>1025</v>
      </c>
    </row>
    <row r="927" spans="1:9" x14ac:dyDescent="0.25">
      <c r="A927" s="1" t="s">
        <v>397</v>
      </c>
      <c r="B927" s="1" t="s">
        <v>913</v>
      </c>
      <c r="C927" s="2">
        <v>44320</v>
      </c>
      <c r="D927" s="6">
        <f>1268.33</f>
        <v>1268.33</v>
      </c>
      <c r="E927" s="6">
        <v>1522</v>
      </c>
      <c r="F927" s="1" t="s">
        <v>468</v>
      </c>
      <c r="G927" s="1" t="s">
        <v>1098</v>
      </c>
      <c r="H927" s="27" t="s">
        <v>1108</v>
      </c>
      <c r="I927" s="1" t="s">
        <v>1026</v>
      </c>
    </row>
    <row r="928" spans="1:9" x14ac:dyDescent="0.25">
      <c r="A928" s="1" t="s">
        <v>398</v>
      </c>
      <c r="B928" s="1" t="s">
        <v>914</v>
      </c>
      <c r="C928" s="2">
        <v>44321</v>
      </c>
      <c r="D928" s="6">
        <f>200</f>
        <v>200</v>
      </c>
      <c r="E928" s="6">
        <v>240</v>
      </c>
      <c r="F928" s="1" t="s">
        <v>468</v>
      </c>
      <c r="G928" s="1" t="s">
        <v>1098</v>
      </c>
      <c r="H928" s="27" t="s">
        <v>1108</v>
      </c>
      <c r="I928" s="1" t="s">
        <v>1027</v>
      </c>
    </row>
    <row r="929" spans="1:9" x14ac:dyDescent="0.25">
      <c r="A929" s="1" t="s">
        <v>399</v>
      </c>
      <c r="B929" s="1" t="s">
        <v>915</v>
      </c>
      <c r="C929" s="2">
        <v>44330</v>
      </c>
      <c r="D929" s="6">
        <f>570</f>
        <v>570</v>
      </c>
      <c r="E929" s="6">
        <v>684</v>
      </c>
      <c r="F929" s="1" t="s">
        <v>501</v>
      </c>
      <c r="G929" s="1" t="s">
        <v>1144</v>
      </c>
      <c r="H929" s="22" t="s">
        <v>1150</v>
      </c>
      <c r="I929" s="1" t="s">
        <v>1028</v>
      </c>
    </row>
    <row r="930" spans="1:9" x14ac:dyDescent="0.25">
      <c r="A930" s="1" t="s">
        <v>400</v>
      </c>
      <c r="B930" s="1" t="s">
        <v>916</v>
      </c>
      <c r="C930" s="2">
        <v>44344</v>
      </c>
      <c r="D930" s="6">
        <f>59</f>
        <v>59</v>
      </c>
      <c r="E930" s="6">
        <v>70.8</v>
      </c>
      <c r="F930" s="1" t="s">
        <v>472</v>
      </c>
      <c r="G930" s="1" t="s">
        <v>1151</v>
      </c>
      <c r="H930" s="22" t="s">
        <v>1097</v>
      </c>
      <c r="I930" s="1" t="s">
        <v>1029</v>
      </c>
    </row>
    <row r="931" spans="1:9" x14ac:dyDescent="0.25">
      <c r="A931" s="1" t="s">
        <v>401</v>
      </c>
      <c r="B931" s="1" t="s">
        <v>917</v>
      </c>
      <c r="C931" s="2">
        <v>44347</v>
      </c>
      <c r="D931" s="6">
        <f>1700</f>
        <v>1700</v>
      </c>
      <c r="E931" s="6">
        <v>2040</v>
      </c>
      <c r="F931" s="1" t="s">
        <v>468</v>
      </c>
      <c r="G931" s="1" t="s">
        <v>1098</v>
      </c>
      <c r="H931" s="22" t="s">
        <v>1189</v>
      </c>
      <c r="I931" s="1" t="s">
        <v>1030</v>
      </c>
    </row>
    <row r="932" spans="1:9" x14ac:dyDescent="0.25">
      <c r="A932" s="1" t="s">
        <v>402</v>
      </c>
      <c r="B932" s="1" t="s">
        <v>918</v>
      </c>
      <c r="C932" s="2">
        <v>44353</v>
      </c>
      <c r="D932" s="6">
        <f>1268.33</f>
        <v>1268.33</v>
      </c>
      <c r="E932" s="6">
        <v>1522</v>
      </c>
      <c r="F932" s="1" t="s">
        <v>468</v>
      </c>
      <c r="G932" s="1" t="s">
        <v>1098</v>
      </c>
      <c r="H932" s="27" t="s">
        <v>1108</v>
      </c>
      <c r="I932" s="1" t="s">
        <v>1031</v>
      </c>
    </row>
    <row r="933" spans="1:9" x14ac:dyDescent="0.25">
      <c r="A933" s="1" t="s">
        <v>403</v>
      </c>
      <c r="B933" s="1" t="s">
        <v>919</v>
      </c>
      <c r="C933" s="2">
        <v>44364</v>
      </c>
      <c r="D933" s="6">
        <f>200</f>
        <v>200</v>
      </c>
      <c r="E933" s="6">
        <v>240</v>
      </c>
      <c r="F933" s="1" t="s">
        <v>468</v>
      </c>
      <c r="G933" s="1" t="s">
        <v>1098</v>
      </c>
      <c r="H933" s="27" t="s">
        <v>1108</v>
      </c>
      <c r="I933" s="1" t="s">
        <v>1032</v>
      </c>
    </row>
    <row r="934" spans="1:9" x14ac:dyDescent="0.25">
      <c r="A934" s="1" t="s">
        <v>404</v>
      </c>
      <c r="B934" s="1" t="s">
        <v>920</v>
      </c>
      <c r="C934" s="2">
        <v>44377</v>
      </c>
      <c r="D934" s="6">
        <f>1700</f>
        <v>1700</v>
      </c>
      <c r="E934" s="6">
        <v>2040</v>
      </c>
      <c r="F934" s="1" t="s">
        <v>468</v>
      </c>
      <c r="G934" s="1" t="s">
        <v>1098</v>
      </c>
      <c r="H934" s="22" t="s">
        <v>1189</v>
      </c>
      <c r="I934" s="1" t="s">
        <v>1033</v>
      </c>
    </row>
    <row r="935" spans="1:9" x14ac:dyDescent="0.25">
      <c r="A935" s="1" t="s">
        <v>405</v>
      </c>
      <c r="B935" s="1" t="s">
        <v>921</v>
      </c>
      <c r="C935" s="2">
        <v>44384</v>
      </c>
      <c r="D935" s="12">
        <v>50</v>
      </c>
      <c r="E935" s="6">
        <v>50</v>
      </c>
      <c r="F935" s="1" t="s">
        <v>502</v>
      </c>
      <c r="G935" s="1" t="s">
        <v>1489</v>
      </c>
      <c r="H935" s="22" t="s">
        <v>1600</v>
      </c>
      <c r="I935" s="1" t="s">
        <v>1490</v>
      </c>
    </row>
    <row r="936" spans="1:9" x14ac:dyDescent="0.25">
      <c r="A936" s="1" t="s">
        <v>406</v>
      </c>
      <c r="B936" s="1" t="s">
        <v>922</v>
      </c>
      <c r="C936" s="2">
        <v>44389</v>
      </c>
      <c r="D936" s="6">
        <f>1268.33</f>
        <v>1268.33</v>
      </c>
      <c r="E936" s="6">
        <v>1522</v>
      </c>
      <c r="F936" s="1" t="s">
        <v>468</v>
      </c>
      <c r="G936" s="1" t="s">
        <v>1098</v>
      </c>
      <c r="H936" s="27" t="s">
        <v>1108</v>
      </c>
      <c r="I936" s="1" t="s">
        <v>1660</v>
      </c>
    </row>
    <row r="937" spans="1:9" x14ac:dyDescent="0.25">
      <c r="A937" s="1" t="s">
        <v>1491</v>
      </c>
      <c r="B937" s="1" t="s">
        <v>1492</v>
      </c>
      <c r="C937" s="2">
        <v>44400</v>
      </c>
      <c r="D937" s="6">
        <v>200</v>
      </c>
      <c r="E937" s="6">
        <v>240</v>
      </c>
      <c r="F937" s="1" t="s">
        <v>468</v>
      </c>
      <c r="G937" s="1" t="s">
        <v>1098</v>
      </c>
      <c r="H937" s="27" t="s">
        <v>1108</v>
      </c>
      <c r="I937" s="1" t="s">
        <v>1661</v>
      </c>
    </row>
    <row r="938" spans="1:9" x14ac:dyDescent="0.25">
      <c r="A938" s="1" t="s">
        <v>1561</v>
      </c>
      <c r="B938" s="1" t="s">
        <v>1563</v>
      </c>
      <c r="C938" s="2">
        <v>44412</v>
      </c>
      <c r="D938" s="6">
        <f>Tabuľka1383132[[#This Row],[Suma s DPH]]/120*100</f>
        <v>1700</v>
      </c>
      <c r="E938" s="6">
        <v>2040</v>
      </c>
      <c r="F938" s="1" t="s">
        <v>468</v>
      </c>
      <c r="G938" s="1" t="s">
        <v>1098</v>
      </c>
      <c r="H938" s="22" t="s">
        <v>1189</v>
      </c>
      <c r="I938" s="1" t="s">
        <v>1662</v>
      </c>
    </row>
    <row r="939" spans="1:9" x14ac:dyDescent="0.25">
      <c r="A939" s="1" t="s">
        <v>1562</v>
      </c>
      <c r="B939" s="1" t="s">
        <v>1564</v>
      </c>
      <c r="C939" s="2">
        <v>44412</v>
      </c>
      <c r="D939" s="6">
        <f>Tabuľka1383132[[#This Row],[Suma s DPH]]/120*100</f>
        <v>1268.3333333333333</v>
      </c>
      <c r="E939" s="6">
        <v>1522</v>
      </c>
      <c r="F939" s="1" t="s">
        <v>468</v>
      </c>
      <c r="G939" s="1" t="s">
        <v>1098</v>
      </c>
      <c r="H939" s="27" t="s">
        <v>1108</v>
      </c>
      <c r="I939" s="1" t="s">
        <v>1663</v>
      </c>
    </row>
    <row r="940" spans="1:9" x14ac:dyDescent="0.25">
      <c r="A940" s="1" t="s">
        <v>1657</v>
      </c>
      <c r="B940" s="1" t="s">
        <v>1658</v>
      </c>
      <c r="C940" s="2">
        <v>44419</v>
      </c>
      <c r="D940" s="6">
        <v>200</v>
      </c>
      <c r="E940" s="6">
        <v>240</v>
      </c>
      <c r="F940" s="1" t="s">
        <v>468</v>
      </c>
      <c r="G940" s="1" t="s">
        <v>1098</v>
      </c>
      <c r="H940" s="27" t="s">
        <v>1108</v>
      </c>
      <c r="I940" s="1" t="s">
        <v>1659</v>
      </c>
    </row>
    <row r="941" spans="1:9" x14ac:dyDescent="0.25">
      <c r="A941" s="1" t="s">
        <v>1800</v>
      </c>
      <c r="B941" s="1" t="s">
        <v>1924</v>
      </c>
      <c r="C941" s="2">
        <v>44441</v>
      </c>
      <c r="D941" s="6">
        <v>1700</v>
      </c>
      <c r="E941" s="6">
        <v>2040</v>
      </c>
      <c r="F941" s="1" t="s">
        <v>468</v>
      </c>
      <c r="G941" s="1" t="s">
        <v>1098</v>
      </c>
      <c r="H941" s="22" t="s">
        <v>1189</v>
      </c>
      <c r="I941" s="1" t="s">
        <v>1925</v>
      </c>
    </row>
    <row r="942" spans="1:9" x14ac:dyDescent="0.25">
      <c r="A942" s="1" t="s">
        <v>1881</v>
      </c>
      <c r="B942" s="1" t="s">
        <v>1926</v>
      </c>
      <c r="C942" s="2">
        <v>44449</v>
      </c>
      <c r="D942" s="6">
        <v>1268.33</v>
      </c>
      <c r="E942" s="6">
        <v>1522</v>
      </c>
      <c r="F942" s="1" t="s">
        <v>468</v>
      </c>
      <c r="G942" s="1" t="s">
        <v>1098</v>
      </c>
      <c r="H942" s="27" t="s">
        <v>1108</v>
      </c>
      <c r="I942" s="1" t="s">
        <v>1929</v>
      </c>
    </row>
    <row r="943" spans="1:9" x14ac:dyDescent="0.25">
      <c r="A943" s="1" t="s">
        <v>1882</v>
      </c>
      <c r="B943" s="1" t="s">
        <v>1928</v>
      </c>
      <c r="C943" s="2">
        <v>44449</v>
      </c>
      <c r="D943" s="6">
        <v>200</v>
      </c>
      <c r="E943" s="6">
        <v>240</v>
      </c>
      <c r="F943" s="1" t="s">
        <v>468</v>
      </c>
      <c r="G943" s="1" t="s">
        <v>1098</v>
      </c>
      <c r="H943" s="27" t="s">
        <v>1108</v>
      </c>
      <c r="I943" s="1" t="s">
        <v>1927</v>
      </c>
    </row>
    <row r="944" spans="1:9" x14ac:dyDescent="0.25">
      <c r="A944" s="1" t="s">
        <v>1963</v>
      </c>
      <c r="B944" s="1" t="s">
        <v>2048</v>
      </c>
      <c r="C944" s="2">
        <v>44456</v>
      </c>
      <c r="D944" s="6">
        <v>59</v>
      </c>
      <c r="E944" s="6">
        <v>70.8</v>
      </c>
      <c r="F944" s="1" t="s">
        <v>468</v>
      </c>
      <c r="G944" s="1" t="s">
        <v>1098</v>
      </c>
      <c r="H944" s="27" t="s">
        <v>1972</v>
      </c>
      <c r="I944" s="1" t="s">
        <v>2049</v>
      </c>
    </row>
    <row r="945" spans="1:9" x14ac:dyDescent="0.25">
      <c r="A945" s="1" t="s">
        <v>2047</v>
      </c>
      <c r="B945" s="1" t="s">
        <v>2050</v>
      </c>
      <c r="C945" s="2">
        <v>44466</v>
      </c>
      <c r="D945" s="6">
        <v>152.22999999999999</v>
      </c>
      <c r="E945" s="6">
        <v>182.68</v>
      </c>
      <c r="F945" s="1" t="s">
        <v>468</v>
      </c>
      <c r="G945" s="1" t="s">
        <v>1098</v>
      </c>
      <c r="H945" s="27" t="s">
        <v>2051</v>
      </c>
      <c r="I945" s="1" t="s">
        <v>2052</v>
      </c>
    </row>
    <row r="946" spans="1:9" x14ac:dyDescent="0.25">
      <c r="A946" s="1" t="s">
        <v>2066</v>
      </c>
      <c r="B946" s="1" t="s">
        <v>2068</v>
      </c>
      <c r="C946" s="2">
        <v>44469</v>
      </c>
      <c r="D946" s="6">
        <v>1700</v>
      </c>
      <c r="E946" s="6">
        <v>2040</v>
      </c>
      <c r="F946" s="1" t="s">
        <v>468</v>
      </c>
      <c r="G946" s="1" t="s">
        <v>1098</v>
      </c>
      <c r="H946" s="22" t="s">
        <v>1189</v>
      </c>
      <c r="I946" s="1" t="s">
        <v>2069</v>
      </c>
    </row>
    <row r="947" spans="1:9" x14ac:dyDescent="0.25">
      <c r="A947" s="1" t="s">
        <v>2067</v>
      </c>
      <c r="B947" s="1" t="s">
        <v>2070</v>
      </c>
      <c r="C947" s="2">
        <v>44475</v>
      </c>
      <c r="D947" s="6">
        <v>1268.33</v>
      </c>
      <c r="E947" s="6">
        <v>1522</v>
      </c>
      <c r="F947" s="1" t="s">
        <v>468</v>
      </c>
      <c r="G947" s="1" t="s">
        <v>1098</v>
      </c>
      <c r="H947" s="27" t="s">
        <v>1108</v>
      </c>
      <c r="I947" s="1" t="s">
        <v>1929</v>
      </c>
    </row>
    <row r="948" spans="1:9" x14ac:dyDescent="0.25">
      <c r="A948" s="1" t="s">
        <v>2320</v>
      </c>
      <c r="B948" s="1" t="s">
        <v>2322</v>
      </c>
      <c r="C948" s="2">
        <v>44502</v>
      </c>
      <c r="D948" s="6">
        <v>1700</v>
      </c>
      <c r="E948" s="6">
        <v>2040</v>
      </c>
      <c r="F948" s="1" t="s">
        <v>468</v>
      </c>
      <c r="G948" s="1" t="s">
        <v>1098</v>
      </c>
      <c r="H948" s="22" t="s">
        <v>1189</v>
      </c>
      <c r="I948" s="1" t="s">
        <v>2325</v>
      </c>
    </row>
    <row r="949" spans="1:9" x14ac:dyDescent="0.25">
      <c r="A949" s="1" t="s">
        <v>2321</v>
      </c>
      <c r="B949" s="1" t="s">
        <v>2323</v>
      </c>
      <c r="C949" s="2">
        <v>44502</v>
      </c>
      <c r="D949" s="6">
        <v>200</v>
      </c>
      <c r="E949" s="6">
        <v>240</v>
      </c>
      <c r="F949" s="1" t="s">
        <v>468</v>
      </c>
      <c r="G949" s="1" t="s">
        <v>1098</v>
      </c>
      <c r="H949" s="27" t="s">
        <v>1108</v>
      </c>
      <c r="I949" s="1" t="s">
        <v>2324</v>
      </c>
    </row>
    <row r="950" spans="1:9" x14ac:dyDescent="0.25">
      <c r="A950" s="1" t="s">
        <v>2359</v>
      </c>
      <c r="B950" s="1" t="s">
        <v>2369</v>
      </c>
      <c r="C950" s="2">
        <v>44505</v>
      </c>
      <c r="D950" s="6">
        <v>200</v>
      </c>
      <c r="E950" s="6">
        <v>240</v>
      </c>
      <c r="F950" s="1" t="s">
        <v>468</v>
      </c>
      <c r="G950" s="1" t="s">
        <v>1098</v>
      </c>
      <c r="H950" s="27" t="s">
        <v>1108</v>
      </c>
      <c r="I950" s="1" t="s">
        <v>2370</v>
      </c>
    </row>
    <row r="951" spans="1:9" x14ac:dyDescent="0.25">
      <c r="A951" s="1" t="s">
        <v>2360</v>
      </c>
      <c r="B951" s="1" t="s">
        <v>2371</v>
      </c>
      <c r="C951" s="2">
        <v>44505</v>
      </c>
      <c r="D951" s="6">
        <v>1268.33</v>
      </c>
      <c r="E951" s="6">
        <v>1522</v>
      </c>
      <c r="F951" s="1" t="s">
        <v>468</v>
      </c>
      <c r="G951" s="1" t="s">
        <v>1098</v>
      </c>
      <c r="H951" s="27" t="s">
        <v>1108</v>
      </c>
      <c r="I951" s="1" t="s">
        <v>2372</v>
      </c>
    </row>
    <row r="952" spans="1:9" x14ac:dyDescent="0.25">
      <c r="A952" s="1" t="s">
        <v>2361</v>
      </c>
      <c r="B952" s="1" t="s">
        <v>2373</v>
      </c>
      <c r="C952" s="2">
        <v>44524</v>
      </c>
      <c r="D952" s="6">
        <v>166.44</v>
      </c>
      <c r="E952" s="6">
        <v>166.44</v>
      </c>
      <c r="F952" s="1" t="s">
        <v>2374</v>
      </c>
      <c r="G952" s="1" t="s">
        <v>2375</v>
      </c>
      <c r="H952" s="27" t="s">
        <v>2376</v>
      </c>
      <c r="I952" s="1" t="s">
        <v>2377</v>
      </c>
    </row>
    <row r="953" spans="1:9" x14ac:dyDescent="0.25">
      <c r="A953" s="1" t="s">
        <v>2570</v>
      </c>
      <c r="B953" s="1" t="s">
        <v>2571</v>
      </c>
      <c r="C953" s="2">
        <v>44533</v>
      </c>
      <c r="D953" s="6">
        <v>1700</v>
      </c>
      <c r="E953" s="6">
        <v>2040</v>
      </c>
      <c r="F953" s="1" t="s">
        <v>468</v>
      </c>
      <c r="G953" s="1" t="s">
        <v>1098</v>
      </c>
      <c r="H953" s="22" t="s">
        <v>1189</v>
      </c>
      <c r="I953" s="1" t="s">
        <v>2572</v>
      </c>
    </row>
    <row r="954" spans="1:9" x14ac:dyDescent="0.25">
      <c r="A954" s="1" t="s">
        <v>2600</v>
      </c>
      <c r="B954" s="1" t="s">
        <v>2704</v>
      </c>
      <c r="C954" s="2">
        <v>44545</v>
      </c>
      <c r="D954" s="6">
        <v>1268.33</v>
      </c>
      <c r="E954" s="6">
        <v>1522</v>
      </c>
      <c r="F954" s="1" t="s">
        <v>468</v>
      </c>
      <c r="G954" s="1" t="s">
        <v>1098</v>
      </c>
      <c r="H954" s="27" t="s">
        <v>1108</v>
      </c>
      <c r="I954" s="1" t="s">
        <v>2372</v>
      </c>
    </row>
    <row r="955" spans="1:9" x14ac:dyDescent="0.25">
      <c r="A955" s="1" t="s">
        <v>3053</v>
      </c>
      <c r="B955" s="1" t="s">
        <v>3055</v>
      </c>
      <c r="C955" s="2">
        <v>44550</v>
      </c>
      <c r="D955" s="6">
        <v>200</v>
      </c>
      <c r="E955" s="6">
        <v>240</v>
      </c>
      <c r="F955" s="1" t="s">
        <v>468</v>
      </c>
      <c r="G955" s="1" t="s">
        <v>1098</v>
      </c>
      <c r="H955" s="27" t="s">
        <v>1108</v>
      </c>
      <c r="I955" s="1" t="s">
        <v>3056</v>
      </c>
    </row>
    <row r="956" spans="1:9" x14ac:dyDescent="0.25">
      <c r="A956" s="1" t="s">
        <v>3054</v>
      </c>
      <c r="B956" s="1" t="s">
        <v>3057</v>
      </c>
      <c r="C956" s="2">
        <v>44559</v>
      </c>
      <c r="D956" s="6">
        <v>1700</v>
      </c>
      <c r="E956" s="6">
        <v>2040</v>
      </c>
      <c r="F956" s="1" t="s">
        <v>468</v>
      </c>
      <c r="G956" s="1" t="s">
        <v>1098</v>
      </c>
      <c r="H956" s="22" t="s">
        <v>1189</v>
      </c>
      <c r="I956" s="1" t="s">
        <v>3058</v>
      </c>
    </row>
    <row r="957" spans="1:9" x14ac:dyDescent="0.25">
      <c r="A957" s="1" t="s">
        <v>3150</v>
      </c>
      <c r="B957" s="1" t="s">
        <v>3166</v>
      </c>
      <c r="C957" s="2">
        <v>44561</v>
      </c>
      <c r="D957" s="6">
        <v>12424.95</v>
      </c>
      <c r="E957" s="6">
        <v>14909.94</v>
      </c>
      <c r="F957" s="1" t="s">
        <v>468</v>
      </c>
      <c r="G957" s="1" t="s">
        <v>1098</v>
      </c>
      <c r="H957" s="27" t="s">
        <v>1108</v>
      </c>
      <c r="I957" s="1" t="s">
        <v>3167</v>
      </c>
    </row>
    <row r="958" spans="1:9" x14ac:dyDescent="0.25">
      <c r="A958" s="1" t="s">
        <v>3151</v>
      </c>
      <c r="B958" s="1" t="s">
        <v>3168</v>
      </c>
      <c r="C958" s="2">
        <v>44561</v>
      </c>
      <c r="D958" s="6">
        <v>1102.44</v>
      </c>
      <c r="E958" s="6">
        <v>1322.93</v>
      </c>
      <c r="F958" s="1" t="s">
        <v>468</v>
      </c>
      <c r="G958" s="1" t="s">
        <v>1098</v>
      </c>
      <c r="H958" s="27" t="s">
        <v>1108</v>
      </c>
      <c r="I958" s="1" t="s">
        <v>3169</v>
      </c>
    </row>
    <row r="959" spans="1:9" x14ac:dyDescent="0.25">
      <c r="A959" s="1" t="s">
        <v>3152</v>
      </c>
      <c r="B959" s="1" t="s">
        <v>3170</v>
      </c>
      <c r="C959" s="2">
        <v>44561</v>
      </c>
      <c r="D959" s="6">
        <v>1948.98</v>
      </c>
      <c r="E959" s="6">
        <v>2338.7800000000002</v>
      </c>
      <c r="F959" s="1" t="s">
        <v>468</v>
      </c>
      <c r="G959" s="1" t="s">
        <v>1098</v>
      </c>
      <c r="H959" s="27" t="s">
        <v>1108</v>
      </c>
      <c r="I959" s="1" t="s">
        <v>3171</v>
      </c>
    </row>
    <row r="960" spans="1:9" x14ac:dyDescent="0.25">
      <c r="A960" s="1" t="s">
        <v>408</v>
      </c>
      <c r="B960" s="1" t="s">
        <v>924</v>
      </c>
      <c r="C960" s="2">
        <v>44207</v>
      </c>
      <c r="D960" s="6">
        <f>180</f>
        <v>180</v>
      </c>
      <c r="E960" s="6">
        <v>216</v>
      </c>
      <c r="F960" s="1" t="s">
        <v>468</v>
      </c>
      <c r="G960" s="1" t="s">
        <v>1098</v>
      </c>
      <c r="H960" s="27" t="s">
        <v>1494</v>
      </c>
      <c r="I960" s="1" t="s">
        <v>1493</v>
      </c>
    </row>
    <row r="961" spans="1:9" x14ac:dyDescent="0.25">
      <c r="A961" s="1" t="s">
        <v>407</v>
      </c>
      <c r="B961" s="1" t="s">
        <v>923</v>
      </c>
      <c r="C961" s="2">
        <v>44204</v>
      </c>
      <c r="D961" s="6">
        <f>150</f>
        <v>150</v>
      </c>
      <c r="E961" s="6">
        <v>180</v>
      </c>
      <c r="F961" s="1" t="s">
        <v>503</v>
      </c>
      <c r="G961" s="1" t="s">
        <v>1152</v>
      </c>
      <c r="H961" s="22" t="s">
        <v>1153</v>
      </c>
      <c r="I961" s="1" t="s">
        <v>1034</v>
      </c>
    </row>
    <row r="962" spans="1:9" x14ac:dyDescent="0.25">
      <c r="A962" s="1" t="s">
        <v>409</v>
      </c>
      <c r="B962" s="1" t="s">
        <v>925</v>
      </c>
      <c r="C962" s="2">
        <v>44227</v>
      </c>
      <c r="D962" s="6">
        <f>16352</f>
        <v>16352</v>
      </c>
      <c r="E962" s="6">
        <v>19622.400000000001</v>
      </c>
      <c r="F962" s="1" t="s">
        <v>468</v>
      </c>
      <c r="G962" s="1" t="s">
        <v>1098</v>
      </c>
      <c r="H962" s="22" t="s">
        <v>1192</v>
      </c>
      <c r="I962" s="1" t="s">
        <v>1035</v>
      </c>
    </row>
    <row r="963" spans="1:9" x14ac:dyDescent="0.25">
      <c r="A963" s="1" t="s">
        <v>410</v>
      </c>
      <c r="B963" s="1" t="s">
        <v>926</v>
      </c>
      <c r="C963" s="2">
        <v>44227</v>
      </c>
      <c r="D963" s="6">
        <f>1047.84</f>
        <v>1047.8399999999999</v>
      </c>
      <c r="E963" s="6">
        <v>1257.4100000000001</v>
      </c>
      <c r="F963" s="1" t="s">
        <v>495</v>
      </c>
      <c r="G963" s="1" t="s">
        <v>1198</v>
      </c>
      <c r="H963" s="22" t="s">
        <v>1108</v>
      </c>
      <c r="I963" s="1" t="s">
        <v>1036</v>
      </c>
    </row>
    <row r="964" spans="1:9" x14ac:dyDescent="0.25">
      <c r="A964" s="1" t="s">
        <v>411</v>
      </c>
      <c r="B964" s="1" t="s">
        <v>927</v>
      </c>
      <c r="C964" s="2">
        <v>44227</v>
      </c>
      <c r="D964" s="6">
        <f>304.36</f>
        <v>304.36</v>
      </c>
      <c r="E964" s="6">
        <v>365.23</v>
      </c>
      <c r="F964" s="1" t="s">
        <v>468</v>
      </c>
      <c r="G964" s="1" t="s">
        <v>1098</v>
      </c>
      <c r="H964" s="22" t="s">
        <v>1195</v>
      </c>
      <c r="I964" s="1" t="s">
        <v>1037</v>
      </c>
    </row>
    <row r="965" spans="1:9" x14ac:dyDescent="0.25">
      <c r="A965" s="1" t="s">
        <v>412</v>
      </c>
      <c r="B965" s="1" t="s">
        <v>928</v>
      </c>
      <c r="C965" s="2">
        <v>44227</v>
      </c>
      <c r="D965" s="30">
        <f>-875.25</f>
        <v>-875.25</v>
      </c>
      <c r="E965" s="30">
        <v>-1050.3</v>
      </c>
      <c r="F965" s="1" t="s">
        <v>504</v>
      </c>
      <c r="G965" s="1" t="s">
        <v>1107</v>
      </c>
      <c r="H965" s="22" t="s">
        <v>1108</v>
      </c>
      <c r="I965" s="1" t="s">
        <v>1038</v>
      </c>
    </row>
    <row r="966" spans="1:9" x14ac:dyDescent="0.25">
      <c r="A966" s="1" t="s">
        <v>413</v>
      </c>
      <c r="B966" s="1" t="s">
        <v>929</v>
      </c>
      <c r="C966" s="2">
        <v>44227</v>
      </c>
      <c r="D966" s="6">
        <f>Tabuľka1383132[[#This Row],[Suma s DPH]]/120*100</f>
        <v>4158.6083333333336</v>
      </c>
      <c r="E966" s="6">
        <v>4990.33</v>
      </c>
      <c r="F966" s="1" t="s">
        <v>505</v>
      </c>
      <c r="G966" s="1" t="s">
        <v>1154</v>
      </c>
      <c r="H966" s="22" t="s">
        <v>1117</v>
      </c>
      <c r="I966" s="1" t="s">
        <v>1039</v>
      </c>
    </row>
    <row r="967" spans="1:9" x14ac:dyDescent="0.25">
      <c r="A967" s="1" t="s">
        <v>414</v>
      </c>
      <c r="B967" s="1" t="s">
        <v>930</v>
      </c>
      <c r="C967" s="2">
        <v>44231</v>
      </c>
      <c r="D967" s="6">
        <f>150</f>
        <v>150</v>
      </c>
      <c r="E967" s="6">
        <v>180</v>
      </c>
      <c r="F967" s="1" t="s">
        <v>503</v>
      </c>
      <c r="G967" s="1" t="s">
        <v>1152</v>
      </c>
      <c r="H967" s="22" t="s">
        <v>1153</v>
      </c>
      <c r="I967" s="1" t="s">
        <v>1040</v>
      </c>
    </row>
    <row r="968" spans="1:9" x14ac:dyDescent="0.25">
      <c r="A968" s="1" t="s">
        <v>415</v>
      </c>
      <c r="B968" s="1" t="s">
        <v>931</v>
      </c>
      <c r="C968" s="2">
        <v>44242</v>
      </c>
      <c r="D968" s="6">
        <f>11.3</f>
        <v>11.3</v>
      </c>
      <c r="E968" s="6">
        <v>13.56</v>
      </c>
      <c r="F968" s="1" t="s">
        <v>468</v>
      </c>
      <c r="G968" s="1" t="s">
        <v>1098</v>
      </c>
      <c r="H968" s="22" t="s">
        <v>1970</v>
      </c>
      <c r="I968" s="1" t="s">
        <v>1041</v>
      </c>
    </row>
    <row r="969" spans="1:9" x14ac:dyDescent="0.25">
      <c r="A969" s="1" t="s">
        <v>421</v>
      </c>
      <c r="B969" s="1" t="s">
        <v>937</v>
      </c>
      <c r="C969" s="2">
        <v>44257</v>
      </c>
      <c r="D969" s="6">
        <f>16352</f>
        <v>16352</v>
      </c>
      <c r="E969" s="6">
        <v>19622.400000000001</v>
      </c>
      <c r="F969" s="1" t="s">
        <v>468</v>
      </c>
      <c r="G969" s="1" t="s">
        <v>1098</v>
      </c>
      <c r="H969" s="22" t="s">
        <v>1192</v>
      </c>
      <c r="I969" s="1" t="s">
        <v>1047</v>
      </c>
    </row>
    <row r="970" spans="1:9" x14ac:dyDescent="0.25">
      <c r="A970" s="1" t="s">
        <v>416</v>
      </c>
      <c r="B970" s="1" t="s">
        <v>932</v>
      </c>
      <c r="C970" s="2">
        <v>44249</v>
      </c>
      <c r="D970" s="6">
        <f>1504.69</f>
        <v>1504.69</v>
      </c>
      <c r="E970" s="6">
        <v>1805.63</v>
      </c>
      <c r="F970" s="1" t="s">
        <v>506</v>
      </c>
      <c r="G970" s="1" t="s">
        <v>1155</v>
      </c>
      <c r="H970" s="22" t="s">
        <v>1156</v>
      </c>
      <c r="I970" s="1" t="s">
        <v>1042</v>
      </c>
    </row>
    <row r="971" spans="1:9" x14ac:dyDescent="0.25">
      <c r="A971" s="1" t="s">
        <v>417</v>
      </c>
      <c r="B971" s="1" t="s">
        <v>933</v>
      </c>
      <c r="C971" s="2">
        <v>44253</v>
      </c>
      <c r="D971" s="9">
        <f>Tabuľka1383132[[#This Row],[Suma s DPH]]</f>
        <v>1016.68</v>
      </c>
      <c r="E971" s="9">
        <v>1016.68</v>
      </c>
      <c r="F971" s="1" t="s">
        <v>507</v>
      </c>
      <c r="G971" s="7" t="s">
        <v>1157</v>
      </c>
      <c r="H971" s="22" t="s">
        <v>1158</v>
      </c>
      <c r="I971" s="1" t="s">
        <v>1043</v>
      </c>
    </row>
    <row r="972" spans="1:9" x14ac:dyDescent="0.25">
      <c r="A972" s="1" t="s">
        <v>418</v>
      </c>
      <c r="B972" s="1" t="s">
        <v>934</v>
      </c>
      <c r="C972" s="2">
        <v>44255</v>
      </c>
      <c r="D972" s="6">
        <f>934.22</f>
        <v>934.22</v>
      </c>
      <c r="E972" s="6">
        <v>1121.06</v>
      </c>
      <c r="F972" s="1" t="s">
        <v>495</v>
      </c>
      <c r="G972" s="1" t="s">
        <v>1198</v>
      </c>
      <c r="H972" s="22" t="s">
        <v>1108</v>
      </c>
      <c r="I972" s="1" t="s">
        <v>1044</v>
      </c>
    </row>
    <row r="973" spans="1:9" x14ac:dyDescent="0.25">
      <c r="A973" s="1" t="s">
        <v>419</v>
      </c>
      <c r="B973" s="1" t="s">
        <v>935</v>
      </c>
      <c r="C973" s="2">
        <v>44255</v>
      </c>
      <c r="D973" s="6">
        <f>Tabuľka1383132[[#This Row],[Suma s DPH]]/120*100</f>
        <v>2554.1583333333333</v>
      </c>
      <c r="E973" s="6">
        <v>3064.99</v>
      </c>
      <c r="F973" s="1" t="s">
        <v>505</v>
      </c>
      <c r="G973" s="1" t="s">
        <v>1154</v>
      </c>
      <c r="H973" s="22" t="s">
        <v>1117</v>
      </c>
      <c r="I973" s="1" t="s">
        <v>1045</v>
      </c>
    </row>
    <row r="974" spans="1:9" x14ac:dyDescent="0.25">
      <c r="A974" s="1" t="s">
        <v>420</v>
      </c>
      <c r="B974" s="1" t="s">
        <v>936</v>
      </c>
      <c r="C974" s="2">
        <v>44255</v>
      </c>
      <c r="D974" s="29">
        <f>-3102.99</f>
        <v>-3102.99</v>
      </c>
      <c r="E974" s="29">
        <v>-3723.58</v>
      </c>
      <c r="F974" s="1" t="s">
        <v>504</v>
      </c>
      <c r="G974" s="1" t="s">
        <v>1107</v>
      </c>
      <c r="H974" s="22" t="s">
        <v>1108</v>
      </c>
      <c r="I974" s="1" t="s">
        <v>1046</v>
      </c>
    </row>
    <row r="975" spans="1:9" x14ac:dyDescent="0.25">
      <c r="A975" s="1" t="s">
        <v>422</v>
      </c>
      <c r="B975" s="1" t="s">
        <v>938</v>
      </c>
      <c r="C975" s="2">
        <v>44259</v>
      </c>
      <c r="D975" s="6">
        <f>150</f>
        <v>150</v>
      </c>
      <c r="E975" s="6">
        <v>180</v>
      </c>
      <c r="F975" s="1" t="s">
        <v>503</v>
      </c>
      <c r="G975" s="1" t="s">
        <v>1152</v>
      </c>
      <c r="H975" s="22" t="s">
        <v>1153</v>
      </c>
      <c r="I975" s="1" t="s">
        <v>1048</v>
      </c>
    </row>
    <row r="976" spans="1:9" x14ac:dyDescent="0.25">
      <c r="A976" s="1" t="s">
        <v>423</v>
      </c>
      <c r="B976" s="1" t="s">
        <v>939</v>
      </c>
      <c r="C976" s="2">
        <v>44265</v>
      </c>
      <c r="D976" s="6">
        <f>1800.13</f>
        <v>1800.13</v>
      </c>
      <c r="E976" s="6">
        <v>2160.16</v>
      </c>
      <c r="F976" s="1" t="s">
        <v>508</v>
      </c>
      <c r="G976" s="1" t="s">
        <v>1159</v>
      </c>
      <c r="H976" s="22" t="s">
        <v>1160</v>
      </c>
      <c r="I976" s="1" t="s">
        <v>1049</v>
      </c>
    </row>
    <row r="977" spans="1:9" x14ac:dyDescent="0.25">
      <c r="A977" s="1" t="s">
        <v>424</v>
      </c>
      <c r="B977" s="1" t="s">
        <v>940</v>
      </c>
      <c r="C977" s="2">
        <v>44277</v>
      </c>
      <c r="D977" s="29">
        <f>-4006.88</f>
        <v>-4006.88</v>
      </c>
      <c r="E977" s="29">
        <v>-4808.26</v>
      </c>
      <c r="F977" s="1" t="s">
        <v>505</v>
      </c>
      <c r="G977" s="1" t="s">
        <v>1154</v>
      </c>
      <c r="H977" s="22" t="s">
        <v>1117</v>
      </c>
      <c r="I977" s="1" t="s">
        <v>1050</v>
      </c>
    </row>
    <row r="978" spans="1:9" x14ac:dyDescent="0.25">
      <c r="A978" s="1" t="s">
        <v>425</v>
      </c>
      <c r="B978" s="1" t="s">
        <v>941</v>
      </c>
      <c r="C978" s="2">
        <v>44277</v>
      </c>
      <c r="D978" s="6">
        <f>87.81</f>
        <v>87.81</v>
      </c>
      <c r="E978" s="6">
        <v>105.37</v>
      </c>
      <c r="F978" s="1" t="s">
        <v>468</v>
      </c>
      <c r="G978" s="1" t="s">
        <v>1098</v>
      </c>
      <c r="H978" s="22" t="s">
        <v>1969</v>
      </c>
      <c r="I978" s="1" t="s">
        <v>1051</v>
      </c>
    </row>
    <row r="979" spans="1:9" x14ac:dyDescent="0.25">
      <c r="A979" s="1" t="s">
        <v>426</v>
      </c>
      <c r="B979" s="1" t="s">
        <v>942</v>
      </c>
      <c r="C979" s="2">
        <v>44280</v>
      </c>
      <c r="D979" s="6">
        <f>5047.17</f>
        <v>5047.17</v>
      </c>
      <c r="E979" s="6">
        <v>6056.6</v>
      </c>
      <c r="F979" s="1" t="s">
        <v>509</v>
      </c>
      <c r="G979" s="1" t="s">
        <v>1161</v>
      </c>
      <c r="H979" s="22" t="s">
        <v>1162</v>
      </c>
      <c r="I979" s="1" t="s">
        <v>1052</v>
      </c>
    </row>
    <row r="980" spans="1:9" x14ac:dyDescent="0.25">
      <c r="A980" s="1" t="s">
        <v>427</v>
      </c>
      <c r="B980" s="1" t="s">
        <v>943</v>
      </c>
      <c r="C980" s="2">
        <v>44286</v>
      </c>
      <c r="D980" s="6">
        <f>16352</f>
        <v>16352</v>
      </c>
      <c r="E980" s="6">
        <v>19622.400000000001</v>
      </c>
      <c r="F980" s="1" t="s">
        <v>468</v>
      </c>
      <c r="G980" s="1" t="s">
        <v>1098</v>
      </c>
      <c r="H980" s="22" t="s">
        <v>1192</v>
      </c>
      <c r="I980" s="1" t="s">
        <v>1053</v>
      </c>
    </row>
    <row r="981" spans="1:9" x14ac:dyDescent="0.25">
      <c r="A981" s="1" t="s">
        <v>428</v>
      </c>
      <c r="B981" s="1" t="s">
        <v>944</v>
      </c>
      <c r="C981" s="2">
        <v>44286</v>
      </c>
      <c r="D981" s="6">
        <f>997.34</f>
        <v>997.34</v>
      </c>
      <c r="E981" s="6">
        <v>1196.81</v>
      </c>
      <c r="F981" s="1" t="s">
        <v>495</v>
      </c>
      <c r="G981" s="1" t="s">
        <v>1198</v>
      </c>
      <c r="H981" s="22" t="s">
        <v>1108</v>
      </c>
      <c r="I981" s="1" t="s">
        <v>1054</v>
      </c>
    </row>
    <row r="982" spans="1:9" x14ac:dyDescent="0.25">
      <c r="A982" s="1" t="s">
        <v>434</v>
      </c>
      <c r="B982" s="1" t="s">
        <v>950</v>
      </c>
      <c r="C982" s="2">
        <v>44294</v>
      </c>
      <c r="D982" s="6">
        <f>628.35</f>
        <v>628.35</v>
      </c>
      <c r="E982" s="6">
        <v>628.35</v>
      </c>
      <c r="F982" s="1" t="s">
        <v>468</v>
      </c>
      <c r="G982" s="1" t="s">
        <v>1098</v>
      </c>
      <c r="H982" s="27" t="s">
        <v>1108</v>
      </c>
      <c r="I982" s="1" t="s">
        <v>1060</v>
      </c>
    </row>
    <row r="983" spans="1:9" x14ac:dyDescent="0.25">
      <c r="A983" s="1" t="s">
        <v>429</v>
      </c>
      <c r="B983" s="1" t="s">
        <v>945</v>
      </c>
      <c r="C983" s="2">
        <v>44286</v>
      </c>
      <c r="D983" s="29">
        <f>-9342.8</f>
        <v>-9342.7999999999993</v>
      </c>
      <c r="E983" s="29">
        <v>-11211.36</v>
      </c>
      <c r="F983" s="1" t="s">
        <v>504</v>
      </c>
      <c r="G983" s="1" t="s">
        <v>1107</v>
      </c>
      <c r="H983" s="22" t="s">
        <v>1108</v>
      </c>
      <c r="I983" s="1" t="s">
        <v>1055</v>
      </c>
    </row>
    <row r="984" spans="1:9" x14ac:dyDescent="0.25">
      <c r="A984" s="1" t="s">
        <v>433</v>
      </c>
      <c r="B984" s="1" t="s">
        <v>949</v>
      </c>
      <c r="C984" s="2">
        <v>44290</v>
      </c>
      <c r="D984" s="6">
        <f>150</f>
        <v>150</v>
      </c>
      <c r="E984" s="6">
        <v>180</v>
      </c>
      <c r="F984" s="1" t="s">
        <v>503</v>
      </c>
      <c r="G984" s="1" t="s">
        <v>1152</v>
      </c>
      <c r="H984" s="22" t="s">
        <v>1153</v>
      </c>
      <c r="I984" s="1" t="s">
        <v>1059</v>
      </c>
    </row>
    <row r="985" spans="1:9" x14ac:dyDescent="0.25">
      <c r="A985" s="1" t="s">
        <v>430</v>
      </c>
      <c r="B985" s="1" t="s">
        <v>946</v>
      </c>
      <c r="C985" s="2">
        <v>44286</v>
      </c>
      <c r="D985" s="6">
        <f>864</f>
        <v>864</v>
      </c>
      <c r="E985" s="6">
        <v>1036.8</v>
      </c>
      <c r="F985" s="1" t="s">
        <v>510</v>
      </c>
      <c r="G985" s="1" t="s">
        <v>1163</v>
      </c>
      <c r="H985" s="22" t="s">
        <v>1164</v>
      </c>
      <c r="I985" s="1" t="s">
        <v>1056</v>
      </c>
    </row>
    <row r="986" spans="1:9" x14ac:dyDescent="0.25">
      <c r="A986" s="1" t="s">
        <v>431</v>
      </c>
      <c r="B986" s="1" t="s">
        <v>947</v>
      </c>
      <c r="C986" s="2">
        <v>44286</v>
      </c>
      <c r="D986" s="6">
        <f>Tabuľka1383132[[#This Row],[Suma s DPH]]/120*100</f>
        <v>652.08333333333326</v>
      </c>
      <c r="E986" s="6">
        <v>782.5</v>
      </c>
      <c r="F986" s="1" t="s">
        <v>505</v>
      </c>
      <c r="G986" s="1" t="s">
        <v>1154</v>
      </c>
      <c r="H986" s="22" t="s">
        <v>1117</v>
      </c>
      <c r="I986" s="1" t="s">
        <v>1057</v>
      </c>
    </row>
    <row r="987" spans="1:9" x14ac:dyDescent="0.25">
      <c r="A987" s="1" t="s">
        <v>432</v>
      </c>
      <c r="B987" s="1" t="s">
        <v>948</v>
      </c>
      <c r="C987" s="2">
        <v>44287</v>
      </c>
      <c r="D987" s="6">
        <f>570</f>
        <v>570</v>
      </c>
      <c r="E987" s="6">
        <v>684</v>
      </c>
      <c r="F987" s="1" t="s">
        <v>503</v>
      </c>
      <c r="G987" s="1" t="s">
        <v>1152</v>
      </c>
      <c r="H987" s="22" t="s">
        <v>1165</v>
      </c>
      <c r="I987" s="1" t="s">
        <v>1058</v>
      </c>
    </row>
    <row r="988" spans="1:9" x14ac:dyDescent="0.25">
      <c r="A988" s="1" t="s">
        <v>438</v>
      </c>
      <c r="B988" s="1" t="s">
        <v>954</v>
      </c>
      <c r="C988" s="2">
        <v>44316</v>
      </c>
      <c r="D988" s="6">
        <f>16352</f>
        <v>16352</v>
      </c>
      <c r="E988" s="6">
        <v>19622.400000000001</v>
      </c>
      <c r="F988" s="1" t="s">
        <v>468</v>
      </c>
      <c r="G988" s="1" t="s">
        <v>1098</v>
      </c>
      <c r="H988" s="22" t="s">
        <v>1192</v>
      </c>
      <c r="I988" s="1" t="s">
        <v>1064</v>
      </c>
    </row>
    <row r="989" spans="1:9" x14ac:dyDescent="0.25">
      <c r="A989" s="1" t="s">
        <v>435</v>
      </c>
      <c r="B989" s="1" t="s">
        <v>951</v>
      </c>
      <c r="C989" s="2">
        <v>44315</v>
      </c>
      <c r="D989" s="6">
        <f>15000</f>
        <v>15000</v>
      </c>
      <c r="E989" s="6">
        <v>18000</v>
      </c>
      <c r="F989" s="1" t="s">
        <v>468</v>
      </c>
      <c r="G989" s="1" t="s">
        <v>1098</v>
      </c>
      <c r="H989" s="22" t="s">
        <v>1108</v>
      </c>
      <c r="I989" s="1" t="s">
        <v>1061</v>
      </c>
    </row>
    <row r="990" spans="1:9" x14ac:dyDescent="0.25">
      <c r="A990" s="1" t="s">
        <v>439</v>
      </c>
      <c r="B990" s="1" t="s">
        <v>955</v>
      </c>
      <c r="C990" s="2">
        <v>44316</v>
      </c>
      <c r="D990" s="6">
        <f>1060.47</f>
        <v>1060.47</v>
      </c>
      <c r="E990" s="6">
        <v>1272.56</v>
      </c>
      <c r="F990" s="1" t="s">
        <v>495</v>
      </c>
      <c r="G990" s="1" t="s">
        <v>1198</v>
      </c>
      <c r="H990" s="22" t="s">
        <v>1108</v>
      </c>
      <c r="I990" s="1" t="s">
        <v>1065</v>
      </c>
    </row>
    <row r="991" spans="1:9" x14ac:dyDescent="0.25">
      <c r="A991" s="1" t="s">
        <v>440</v>
      </c>
      <c r="B991" s="1" t="s">
        <v>956</v>
      </c>
      <c r="C991" s="2">
        <v>44316</v>
      </c>
      <c r="D991" s="6">
        <f>Tabuľka1383132[[#This Row],[Suma s DPH]]/120*100</f>
        <v>5928.8833333333332</v>
      </c>
      <c r="E991" s="6">
        <v>7114.66</v>
      </c>
      <c r="F991" s="1" t="s">
        <v>505</v>
      </c>
      <c r="G991" s="1" t="s">
        <v>1154</v>
      </c>
      <c r="H991" s="22" t="s">
        <v>1117</v>
      </c>
      <c r="I991" s="1" t="s">
        <v>1066</v>
      </c>
    </row>
    <row r="992" spans="1:9" x14ac:dyDescent="0.25">
      <c r="A992" s="1" t="s">
        <v>441</v>
      </c>
      <c r="B992" s="1" t="s">
        <v>957</v>
      </c>
      <c r="C992" s="2">
        <v>44316</v>
      </c>
      <c r="D992" s="29">
        <f>-3105.87</f>
        <v>-3105.87</v>
      </c>
      <c r="E992" s="29">
        <v>-3727.04</v>
      </c>
      <c r="F992" s="1" t="s">
        <v>504</v>
      </c>
      <c r="G992" s="1" t="s">
        <v>1107</v>
      </c>
      <c r="H992" s="22" t="s">
        <v>1108</v>
      </c>
      <c r="I992" s="1" t="s">
        <v>1067</v>
      </c>
    </row>
    <row r="993" spans="1:9" x14ac:dyDescent="0.25">
      <c r="A993" s="1" t="s">
        <v>436</v>
      </c>
      <c r="B993" s="1" t="s">
        <v>952</v>
      </c>
      <c r="C993" s="2">
        <v>44315</v>
      </c>
      <c r="D993" s="6">
        <f>Tabuľka1383132[[#This Row],[Suma s DPH]]</f>
        <v>280</v>
      </c>
      <c r="E993" s="6">
        <v>280</v>
      </c>
      <c r="F993" s="1" t="s">
        <v>511</v>
      </c>
      <c r="G993" s="1" t="s">
        <v>1166</v>
      </c>
      <c r="H993" s="22" t="s">
        <v>1167</v>
      </c>
      <c r="I993" s="1" t="s">
        <v>1062</v>
      </c>
    </row>
    <row r="994" spans="1:9" x14ac:dyDescent="0.25">
      <c r="A994" s="1" t="s">
        <v>437</v>
      </c>
      <c r="B994" s="1" t="s">
        <v>953</v>
      </c>
      <c r="C994" s="2">
        <v>44315</v>
      </c>
      <c r="D994" s="6">
        <f>Tabuľka1383132[[#This Row],[Suma s DPH]]</f>
        <v>1805</v>
      </c>
      <c r="E994" s="6">
        <v>1805</v>
      </c>
      <c r="F994" s="1" t="s">
        <v>511</v>
      </c>
      <c r="G994" s="1" t="s">
        <v>1166</v>
      </c>
      <c r="H994" s="22" t="s">
        <v>1167</v>
      </c>
      <c r="I994" s="1" t="s">
        <v>1063</v>
      </c>
    </row>
    <row r="995" spans="1:9" x14ac:dyDescent="0.25">
      <c r="A995" s="1" t="s">
        <v>443</v>
      </c>
      <c r="B995" s="1" t="s">
        <v>959</v>
      </c>
      <c r="C995" s="2">
        <v>44322</v>
      </c>
      <c r="D995" s="6">
        <f>150</f>
        <v>150</v>
      </c>
      <c r="E995" s="6">
        <v>180</v>
      </c>
      <c r="F995" s="1" t="s">
        <v>503</v>
      </c>
      <c r="G995" s="1" t="s">
        <v>1152</v>
      </c>
      <c r="H995" s="22" t="s">
        <v>1153</v>
      </c>
      <c r="I995" s="1" t="s">
        <v>1069</v>
      </c>
    </row>
    <row r="996" spans="1:9" x14ac:dyDescent="0.25">
      <c r="A996" s="1" t="s">
        <v>446</v>
      </c>
      <c r="B996" s="1" t="s">
        <v>962</v>
      </c>
      <c r="C996" s="2">
        <v>44335</v>
      </c>
      <c r="D996" s="6">
        <f>942.53</f>
        <v>942.53</v>
      </c>
      <c r="E996" s="6">
        <v>942.53</v>
      </c>
      <c r="F996" s="1" t="s">
        <v>468</v>
      </c>
      <c r="G996" s="1" t="s">
        <v>1098</v>
      </c>
      <c r="H996" s="22" t="s">
        <v>1108</v>
      </c>
      <c r="I996" s="1" t="s">
        <v>1070</v>
      </c>
    </row>
    <row r="997" spans="1:9" x14ac:dyDescent="0.25">
      <c r="A997" s="1" t="s">
        <v>447</v>
      </c>
      <c r="B997" s="1" t="s">
        <v>963</v>
      </c>
      <c r="C997" s="2">
        <v>44340</v>
      </c>
      <c r="D997" s="6">
        <f>231.33</f>
        <v>231.33</v>
      </c>
      <c r="E997" s="6">
        <v>277.60000000000002</v>
      </c>
      <c r="F997" s="1" t="s">
        <v>468</v>
      </c>
      <c r="G997" s="1" t="s">
        <v>1098</v>
      </c>
      <c r="H997" s="22" t="s">
        <v>1968</v>
      </c>
      <c r="I997" s="1" t="s">
        <v>1071</v>
      </c>
    </row>
    <row r="998" spans="1:9" x14ac:dyDescent="0.25">
      <c r="A998" s="1" t="s">
        <v>442</v>
      </c>
      <c r="B998" s="1" t="s">
        <v>958</v>
      </c>
      <c r="C998" s="2">
        <v>44320</v>
      </c>
      <c r="D998" s="6">
        <f>2370.52</f>
        <v>2370.52</v>
      </c>
      <c r="E998" s="6">
        <v>2844.62</v>
      </c>
      <c r="F998" s="1" t="s">
        <v>512</v>
      </c>
      <c r="G998" s="1" t="s">
        <v>1168</v>
      </c>
      <c r="H998" s="22" t="s">
        <v>1169</v>
      </c>
      <c r="I998" s="1" t="s">
        <v>1068</v>
      </c>
    </row>
    <row r="999" spans="1:9" x14ac:dyDescent="0.25">
      <c r="A999" s="1" t="s">
        <v>444</v>
      </c>
      <c r="B999" s="1" t="s">
        <v>960</v>
      </c>
      <c r="C999" s="2">
        <v>44322</v>
      </c>
      <c r="D999" s="6">
        <f>1082.23</f>
        <v>1082.23</v>
      </c>
      <c r="E999" s="6">
        <v>1298.68</v>
      </c>
      <c r="F999" s="1" t="s">
        <v>512</v>
      </c>
      <c r="G999" s="1" t="s">
        <v>1168</v>
      </c>
      <c r="H999" s="22" t="s">
        <v>1171</v>
      </c>
      <c r="I999" s="1" t="s">
        <v>1068</v>
      </c>
    </row>
    <row r="1000" spans="1:9" x14ac:dyDescent="0.25">
      <c r="A1000" s="1" t="s">
        <v>445</v>
      </c>
      <c r="B1000" s="1" t="s">
        <v>961</v>
      </c>
      <c r="C1000" s="2">
        <v>44322</v>
      </c>
      <c r="D1000" s="6">
        <f>2432.56</f>
        <v>2432.56</v>
      </c>
      <c r="E1000" s="6">
        <v>2919.07</v>
      </c>
      <c r="F1000" s="1" t="s">
        <v>512</v>
      </c>
      <c r="G1000" s="1" t="s">
        <v>1168</v>
      </c>
      <c r="H1000" s="1" t="s">
        <v>1172</v>
      </c>
      <c r="I1000" s="1" t="s">
        <v>1068</v>
      </c>
    </row>
    <row r="1001" spans="1:9" x14ac:dyDescent="0.25">
      <c r="A1001" s="1" t="s">
        <v>450</v>
      </c>
      <c r="B1001" s="1" t="s">
        <v>966</v>
      </c>
      <c r="C1001" s="2">
        <v>44344</v>
      </c>
      <c r="D1001" s="29">
        <f>-74.17</f>
        <v>-74.17</v>
      </c>
      <c r="E1001" s="29">
        <v>-89</v>
      </c>
      <c r="F1001" s="1" t="s">
        <v>468</v>
      </c>
      <c r="G1001" s="1" t="s">
        <v>1098</v>
      </c>
      <c r="H1001" s="1" t="s">
        <v>1968</v>
      </c>
      <c r="I1001" s="1" t="s">
        <v>1071</v>
      </c>
    </row>
    <row r="1002" spans="1:9" x14ac:dyDescent="0.25">
      <c r="A1002" s="1" t="s">
        <v>451</v>
      </c>
      <c r="B1002" s="1" t="s">
        <v>967</v>
      </c>
      <c r="C1002" s="2">
        <v>44347</v>
      </c>
      <c r="D1002" s="6">
        <f>16352</f>
        <v>16352</v>
      </c>
      <c r="E1002" s="6">
        <v>19622.400000000001</v>
      </c>
      <c r="F1002" s="1" t="s">
        <v>468</v>
      </c>
      <c r="G1002" s="1" t="s">
        <v>1098</v>
      </c>
      <c r="H1002" s="1" t="s">
        <v>1192</v>
      </c>
      <c r="I1002" s="1" t="s">
        <v>1074</v>
      </c>
    </row>
    <row r="1003" spans="1:9" x14ac:dyDescent="0.25">
      <c r="A1003" s="1" t="s">
        <v>452</v>
      </c>
      <c r="B1003" s="1" t="s">
        <v>968</v>
      </c>
      <c r="C1003" s="2">
        <v>44347</v>
      </c>
      <c r="D1003" s="6">
        <f>342.97</f>
        <v>342.97</v>
      </c>
      <c r="E1003" s="6">
        <v>411.57</v>
      </c>
      <c r="F1003" s="1" t="s">
        <v>495</v>
      </c>
      <c r="G1003" s="1" t="s">
        <v>1198</v>
      </c>
      <c r="H1003" s="1" t="s">
        <v>1108</v>
      </c>
      <c r="I1003" s="1" t="s">
        <v>1075</v>
      </c>
    </row>
    <row r="1004" spans="1:9" x14ac:dyDescent="0.25">
      <c r="A1004" s="1" t="s">
        <v>448</v>
      </c>
      <c r="B1004" s="1" t="s">
        <v>964</v>
      </c>
      <c r="C1004" s="2">
        <v>44341</v>
      </c>
      <c r="D1004" s="6">
        <f>431.65</f>
        <v>431.65</v>
      </c>
      <c r="E1004" s="6">
        <v>517.98</v>
      </c>
      <c r="F1004" s="1" t="s">
        <v>513</v>
      </c>
      <c r="G1004" s="1" t="s">
        <v>1173</v>
      </c>
      <c r="H1004" s="1" t="s">
        <v>1174</v>
      </c>
      <c r="I1004" s="1" t="s">
        <v>1072</v>
      </c>
    </row>
    <row r="1005" spans="1:9" x14ac:dyDescent="0.25">
      <c r="A1005" s="1" t="s">
        <v>449</v>
      </c>
      <c r="B1005" s="1" t="s">
        <v>965</v>
      </c>
      <c r="C1005" s="2">
        <v>44341</v>
      </c>
      <c r="D1005" s="6">
        <f>1662.86</f>
        <v>1662.86</v>
      </c>
      <c r="E1005" s="6">
        <v>1995.43</v>
      </c>
      <c r="F1005" s="1" t="s">
        <v>508</v>
      </c>
      <c r="G1005" s="1" t="s">
        <v>1159</v>
      </c>
      <c r="H1005" s="1" t="s">
        <v>1170</v>
      </c>
      <c r="I1005" s="1" t="s">
        <v>1073</v>
      </c>
    </row>
    <row r="1006" spans="1:9" x14ac:dyDescent="0.25">
      <c r="A1006" s="1" t="s">
        <v>453</v>
      </c>
      <c r="B1006" s="1" t="s">
        <v>969</v>
      </c>
      <c r="C1006" s="2">
        <v>44347</v>
      </c>
      <c r="D1006" s="6">
        <f>Tabuľka1383132[[#This Row],[Suma s DPH]]/120*100</f>
        <v>5787.8249999999998</v>
      </c>
      <c r="E1006" s="6">
        <v>6945.39</v>
      </c>
      <c r="F1006" s="1" t="s">
        <v>505</v>
      </c>
      <c r="G1006" s="1" t="s">
        <v>1154</v>
      </c>
      <c r="H1006" s="1" t="s">
        <v>1117</v>
      </c>
      <c r="I1006" s="1" t="s">
        <v>1076</v>
      </c>
    </row>
    <row r="1007" spans="1:9" x14ac:dyDescent="0.25">
      <c r="A1007" s="1" t="s">
        <v>458</v>
      </c>
      <c r="B1007" s="1" t="s">
        <v>974</v>
      </c>
      <c r="C1007" s="2">
        <v>44362</v>
      </c>
      <c r="D1007" s="6">
        <f>134.23</f>
        <v>134.22999999999999</v>
      </c>
      <c r="E1007" s="6">
        <v>161.08000000000001</v>
      </c>
      <c r="F1007" s="1" t="s">
        <v>468</v>
      </c>
      <c r="G1007" s="1" t="s">
        <v>1098</v>
      </c>
      <c r="H1007" s="1" t="s">
        <v>1516</v>
      </c>
      <c r="I1007" s="1" t="s">
        <v>1081</v>
      </c>
    </row>
    <row r="1008" spans="1:9" x14ac:dyDescent="0.25">
      <c r="A1008" s="1" t="s">
        <v>455</v>
      </c>
      <c r="B1008" s="1" t="s">
        <v>971</v>
      </c>
      <c r="C1008" s="2">
        <v>44348</v>
      </c>
      <c r="D1008" s="6">
        <f>43.75</f>
        <v>43.75</v>
      </c>
      <c r="E1008" s="6">
        <v>52.5</v>
      </c>
      <c r="F1008" s="1" t="s">
        <v>468</v>
      </c>
      <c r="G1008" s="1" t="s">
        <v>1098</v>
      </c>
      <c r="H1008" s="1" t="s">
        <v>1966</v>
      </c>
      <c r="I1008" s="1" t="s">
        <v>1078</v>
      </c>
    </row>
    <row r="1009" spans="1:9" x14ac:dyDescent="0.25">
      <c r="A1009" s="1" t="s">
        <v>456</v>
      </c>
      <c r="B1009" s="1" t="s">
        <v>972</v>
      </c>
      <c r="C1009" s="2">
        <v>44354</v>
      </c>
      <c r="D1009" s="6">
        <f>1870.67</f>
        <v>1870.67</v>
      </c>
      <c r="E1009" s="6">
        <v>2244.8000000000002</v>
      </c>
      <c r="F1009" s="1" t="s">
        <v>514</v>
      </c>
      <c r="G1009" s="1" t="s">
        <v>1175</v>
      </c>
      <c r="H1009" s="1" t="s">
        <v>1176</v>
      </c>
      <c r="I1009" s="1" t="s">
        <v>1079</v>
      </c>
    </row>
    <row r="1010" spans="1:9" x14ac:dyDescent="0.25">
      <c r="A1010" s="1" t="s">
        <v>457</v>
      </c>
      <c r="B1010" s="1" t="s">
        <v>973</v>
      </c>
      <c r="C1010" s="2">
        <v>44356</v>
      </c>
      <c r="D1010" s="6">
        <f>153</f>
        <v>153</v>
      </c>
      <c r="E1010" s="6">
        <v>183.6</v>
      </c>
      <c r="F1010" s="1" t="s">
        <v>515</v>
      </c>
      <c r="G1010" s="1" t="s">
        <v>1177</v>
      </c>
      <c r="H1010" s="1" t="s">
        <v>1178</v>
      </c>
      <c r="I1010" s="1" t="s">
        <v>1080</v>
      </c>
    </row>
    <row r="1011" spans="1:9" x14ac:dyDescent="0.25">
      <c r="A1011" s="1" t="s">
        <v>459</v>
      </c>
      <c r="B1011" s="1" t="s">
        <v>975</v>
      </c>
      <c r="C1011" s="2">
        <v>44369</v>
      </c>
      <c r="D1011" s="6">
        <f>154.16</f>
        <v>154.16</v>
      </c>
      <c r="E1011" s="6">
        <v>184.99</v>
      </c>
      <c r="F1011" s="1" t="s">
        <v>468</v>
      </c>
      <c r="G1011" s="1" t="s">
        <v>1098</v>
      </c>
      <c r="H1011" s="1" t="s">
        <v>1516</v>
      </c>
      <c r="I1011" s="1" t="s">
        <v>1081</v>
      </c>
    </row>
    <row r="1012" spans="1:9" x14ac:dyDescent="0.25">
      <c r="A1012" s="1" t="s">
        <v>460</v>
      </c>
      <c r="B1012" s="1" t="s">
        <v>976</v>
      </c>
      <c r="C1012" s="2">
        <v>44377</v>
      </c>
      <c r="D1012" s="6">
        <f>Tabuľka1383132[[#This Row],[Suma s DPH]]/120*100</f>
        <v>3441.1333333333332</v>
      </c>
      <c r="E1012" s="6">
        <v>4129.3599999999997</v>
      </c>
      <c r="F1012" s="1" t="s">
        <v>505</v>
      </c>
      <c r="G1012" s="1" t="s">
        <v>1154</v>
      </c>
      <c r="H1012" s="1" t="s">
        <v>1117</v>
      </c>
      <c r="I1012" s="1" t="s">
        <v>1082</v>
      </c>
    </row>
    <row r="1013" spans="1:9" x14ac:dyDescent="0.25">
      <c r="A1013" s="1" t="s">
        <v>461</v>
      </c>
      <c r="B1013" s="1" t="s">
        <v>977</v>
      </c>
      <c r="C1013" s="2">
        <v>44377</v>
      </c>
      <c r="D1013" s="30">
        <f>-218.47</f>
        <v>-218.47</v>
      </c>
      <c r="E1013" s="29">
        <v>-262.17</v>
      </c>
      <c r="F1013" s="1" t="s">
        <v>504</v>
      </c>
      <c r="G1013" s="1" t="s">
        <v>1107</v>
      </c>
      <c r="H1013" s="1" t="s">
        <v>1108</v>
      </c>
      <c r="I1013" s="1" t="s">
        <v>1083</v>
      </c>
    </row>
    <row r="1014" spans="1:9" x14ac:dyDescent="0.25">
      <c r="A1014" s="1" t="s">
        <v>462</v>
      </c>
      <c r="B1014" s="1" t="s">
        <v>978</v>
      </c>
      <c r="C1014" s="2">
        <v>44377</v>
      </c>
      <c r="D1014" s="6">
        <f>16352</f>
        <v>16352</v>
      </c>
      <c r="E1014" s="6">
        <v>19622.400000000001</v>
      </c>
      <c r="F1014" s="1" t="s">
        <v>468</v>
      </c>
      <c r="G1014" s="1" t="s">
        <v>1098</v>
      </c>
      <c r="H1014" s="1" t="s">
        <v>1192</v>
      </c>
      <c r="I1014" s="1" t="s">
        <v>1084</v>
      </c>
    </row>
    <row r="1015" spans="1:9" x14ac:dyDescent="0.25">
      <c r="A1015" s="1" t="s">
        <v>454</v>
      </c>
      <c r="B1015" s="1" t="s">
        <v>970</v>
      </c>
      <c r="C1015" s="2">
        <v>44347</v>
      </c>
      <c r="D1015" s="6">
        <f>677.06</f>
        <v>677.06</v>
      </c>
      <c r="E1015" s="6">
        <v>812.48</v>
      </c>
      <c r="F1015" s="1" t="s">
        <v>504</v>
      </c>
      <c r="G1015" s="1" t="s">
        <v>1107</v>
      </c>
      <c r="H1015" s="1" t="s">
        <v>1108</v>
      </c>
      <c r="I1015" s="1" t="s">
        <v>1077</v>
      </c>
    </row>
    <row r="1016" spans="1:9" x14ac:dyDescent="0.25">
      <c r="A1016" s="1" t="s">
        <v>463</v>
      </c>
      <c r="B1016" s="1" t="s">
        <v>979</v>
      </c>
      <c r="C1016" s="2">
        <v>44377</v>
      </c>
      <c r="D1016" s="13">
        <f>55.52+60.21</f>
        <v>115.73</v>
      </c>
      <c r="E1016" s="6">
        <v>138.87</v>
      </c>
      <c r="F1016" s="1" t="s">
        <v>495</v>
      </c>
      <c r="G1016" s="1" t="s">
        <v>1198</v>
      </c>
      <c r="H1016" s="1" t="s">
        <v>1108</v>
      </c>
      <c r="I1016" s="1" t="s">
        <v>1085</v>
      </c>
    </row>
    <row r="1017" spans="1:9" x14ac:dyDescent="0.25">
      <c r="A1017" s="1" t="s">
        <v>1495</v>
      </c>
      <c r="B1017" s="1" t="s">
        <v>1503</v>
      </c>
      <c r="C1017" s="2">
        <v>44391</v>
      </c>
      <c r="D1017" s="6">
        <f>Tabuľka1383132[[#This Row],[Suma s DPH]]/120*100</f>
        <v>10.516666666666666</v>
      </c>
      <c r="E1017" s="6">
        <v>12.62</v>
      </c>
      <c r="F1017" s="1" t="s">
        <v>495</v>
      </c>
      <c r="G1017" s="1" t="s">
        <v>1198</v>
      </c>
      <c r="H1017" s="1" t="s">
        <v>1108</v>
      </c>
      <c r="I1017" s="1" t="s">
        <v>1504</v>
      </c>
    </row>
    <row r="1018" spans="1:9" x14ac:dyDescent="0.25">
      <c r="A1018" s="1" t="s">
        <v>1496</v>
      </c>
      <c r="B1018" s="1" t="s">
        <v>1505</v>
      </c>
      <c r="C1018" s="2">
        <v>44393</v>
      </c>
      <c r="D1018" s="6">
        <f>Tabuľka1383132[[#This Row],[Suma s DPH]]/120*100</f>
        <v>30</v>
      </c>
      <c r="E1018" s="6">
        <v>36</v>
      </c>
      <c r="F1018" s="1" t="s">
        <v>468</v>
      </c>
      <c r="G1018" s="1" t="s">
        <v>1098</v>
      </c>
      <c r="H1018" s="7" t="s">
        <v>1494</v>
      </c>
      <c r="I1018" s="1" t="s">
        <v>1506</v>
      </c>
    </row>
    <row r="1019" spans="1:9" x14ac:dyDescent="0.25">
      <c r="A1019" s="1" t="s">
        <v>1497</v>
      </c>
      <c r="B1019" s="1" t="s">
        <v>1509</v>
      </c>
      <c r="C1019" s="2">
        <v>44397</v>
      </c>
      <c r="D1019" s="6">
        <v>150</v>
      </c>
      <c r="E1019" s="6">
        <v>180</v>
      </c>
      <c r="F1019" s="1" t="s">
        <v>503</v>
      </c>
      <c r="G1019" s="1" t="s">
        <v>1152</v>
      </c>
      <c r="H1019" s="1" t="s">
        <v>1507</v>
      </c>
      <c r="I1019" s="1" t="s">
        <v>1508</v>
      </c>
    </row>
    <row r="1020" spans="1:9" x14ac:dyDescent="0.25">
      <c r="A1020" s="1" t="s">
        <v>1498</v>
      </c>
      <c r="B1020" s="1" t="s">
        <v>1510</v>
      </c>
      <c r="C1020" s="2">
        <v>44397</v>
      </c>
      <c r="D1020" s="6">
        <v>21800</v>
      </c>
      <c r="E1020" s="6">
        <v>26160</v>
      </c>
      <c r="F1020" s="3" t="s">
        <v>1511</v>
      </c>
      <c r="G1020" s="1" t="s">
        <v>1512</v>
      </c>
      <c r="H1020" s="1" t="s">
        <v>1513</v>
      </c>
      <c r="I1020" s="3" t="s">
        <v>1514</v>
      </c>
    </row>
    <row r="1021" spans="1:9" x14ac:dyDescent="0.25">
      <c r="A1021" s="1" t="s">
        <v>1499</v>
      </c>
      <c r="B1021" s="1" t="s">
        <v>1515</v>
      </c>
      <c r="C1021" s="2">
        <v>44398</v>
      </c>
      <c r="D1021" s="6">
        <v>4512.51</v>
      </c>
      <c r="E1021" s="6">
        <v>5415.01</v>
      </c>
      <c r="F1021" s="1" t="s">
        <v>468</v>
      </c>
      <c r="G1021" s="1" t="s">
        <v>1098</v>
      </c>
      <c r="H1021" s="1" t="s">
        <v>1516</v>
      </c>
      <c r="I1021" s="3" t="s">
        <v>1517</v>
      </c>
    </row>
    <row r="1022" spans="1:9" x14ac:dyDescent="0.25">
      <c r="A1022" s="1" t="s">
        <v>1500</v>
      </c>
      <c r="B1022" s="1" t="s">
        <v>1518</v>
      </c>
      <c r="C1022" s="2">
        <v>44400</v>
      </c>
      <c r="D1022" s="6">
        <f>Tabuľka1383132[[#This Row],[Suma s DPH]]</f>
        <v>700</v>
      </c>
      <c r="E1022" s="6">
        <v>700</v>
      </c>
      <c r="F1022" s="3" t="s">
        <v>1290</v>
      </c>
      <c r="G1022" s="1" t="s">
        <v>1291</v>
      </c>
      <c r="H1022" s="1" t="s">
        <v>1519</v>
      </c>
      <c r="I1022" s="3" t="s">
        <v>1520</v>
      </c>
    </row>
    <row r="1023" spans="1:9" x14ac:dyDescent="0.25">
      <c r="A1023" s="1" t="s">
        <v>1501</v>
      </c>
      <c r="B1023" s="1" t="s">
        <v>1526</v>
      </c>
      <c r="C1023" s="2">
        <v>44400</v>
      </c>
      <c r="D1023" s="12">
        <v>5090</v>
      </c>
      <c r="E1023" s="12">
        <v>6108</v>
      </c>
      <c r="F1023" s="3" t="s">
        <v>1527</v>
      </c>
      <c r="G1023" s="1" t="s">
        <v>1528</v>
      </c>
      <c r="H1023" s="1" t="s">
        <v>1529</v>
      </c>
      <c r="I1023" s="3" t="s">
        <v>1530</v>
      </c>
    </row>
    <row r="1024" spans="1:9" x14ac:dyDescent="0.25">
      <c r="A1024" s="1" t="s">
        <v>1502</v>
      </c>
      <c r="B1024" s="1" t="s">
        <v>1521</v>
      </c>
      <c r="C1024" s="2">
        <v>44404</v>
      </c>
      <c r="D1024" s="6">
        <f>1035.3</f>
        <v>1035.3</v>
      </c>
      <c r="E1024" s="6">
        <v>1242.3599999999999</v>
      </c>
      <c r="F1024" s="3" t="s">
        <v>1522</v>
      </c>
      <c r="G1024" s="1" t="s">
        <v>1523</v>
      </c>
      <c r="H1024" s="1" t="s">
        <v>1524</v>
      </c>
      <c r="I1024" s="3" t="s">
        <v>1525</v>
      </c>
    </row>
    <row r="1025" spans="1:9" x14ac:dyDescent="0.25">
      <c r="A1025" s="1" t="s">
        <v>1554</v>
      </c>
      <c r="B1025" s="1" t="s">
        <v>1557</v>
      </c>
      <c r="C1025" s="2">
        <v>44412</v>
      </c>
      <c r="D1025" s="6">
        <f>Tabuľka1383132[[#This Row],[Suma s DPH]]/120*100</f>
        <v>274.73333333333329</v>
      </c>
      <c r="E1025" s="6">
        <v>329.68</v>
      </c>
      <c r="F1025" s="1" t="s">
        <v>468</v>
      </c>
      <c r="G1025" s="1" t="s">
        <v>1098</v>
      </c>
      <c r="H1025" s="1" t="s">
        <v>1516</v>
      </c>
      <c r="I1025" s="3" t="s">
        <v>1558</v>
      </c>
    </row>
    <row r="1026" spans="1:9" x14ac:dyDescent="0.25">
      <c r="A1026" s="1" t="s">
        <v>1555</v>
      </c>
      <c r="B1026" s="1" t="s">
        <v>1559</v>
      </c>
      <c r="C1026" s="2">
        <v>44412</v>
      </c>
      <c r="D1026" s="6">
        <f>Tabuľka1383132[[#This Row],[Suma s DPH]]/120*100</f>
        <v>16352.000000000002</v>
      </c>
      <c r="E1026" s="6">
        <v>19622.400000000001</v>
      </c>
      <c r="F1026" s="1" t="s">
        <v>468</v>
      </c>
      <c r="G1026" s="1" t="s">
        <v>1098</v>
      </c>
      <c r="H1026" s="1" t="s">
        <v>1192</v>
      </c>
      <c r="I1026" s="1" t="s">
        <v>1675</v>
      </c>
    </row>
    <row r="1027" spans="1:9" x14ac:dyDescent="0.25">
      <c r="A1027" s="1" t="s">
        <v>1556</v>
      </c>
      <c r="B1027" s="1" t="s">
        <v>1560</v>
      </c>
      <c r="C1027" s="2">
        <v>44413</v>
      </c>
      <c r="D1027" s="6">
        <f>Tabuľka1383132[[#This Row],[Suma s DPH]]/120*100</f>
        <v>948.94999999999993</v>
      </c>
      <c r="E1027" s="6">
        <v>1138.74</v>
      </c>
      <c r="F1027" s="1" t="s">
        <v>495</v>
      </c>
      <c r="G1027" s="1" t="s">
        <v>1198</v>
      </c>
      <c r="H1027" s="1" t="s">
        <v>1108</v>
      </c>
      <c r="I1027" s="1" t="s">
        <v>1676</v>
      </c>
    </row>
    <row r="1028" spans="1:9" x14ac:dyDescent="0.25">
      <c r="A1028" s="1" t="s">
        <v>1664</v>
      </c>
      <c r="B1028" s="1" t="s">
        <v>1670</v>
      </c>
      <c r="C1028" s="2">
        <v>44414</v>
      </c>
      <c r="D1028" s="6">
        <v>314.19</v>
      </c>
      <c r="E1028" s="6">
        <f>Tabuľka1383132[[#This Row],[Suma bez DPH]]*1.2</f>
        <v>377.02799999999996</v>
      </c>
      <c r="F1028" s="1" t="s">
        <v>514</v>
      </c>
      <c r="G1028" s="1" t="s">
        <v>1175</v>
      </c>
      <c r="H1028" s="1" t="s">
        <v>1671</v>
      </c>
      <c r="I1028" s="1" t="s">
        <v>1672</v>
      </c>
    </row>
    <row r="1029" spans="1:9" x14ac:dyDescent="0.25">
      <c r="A1029" s="1" t="s">
        <v>1665</v>
      </c>
      <c r="B1029" s="1" t="s">
        <v>1673</v>
      </c>
      <c r="C1029" s="2">
        <v>44417</v>
      </c>
      <c r="D1029" s="6">
        <v>30</v>
      </c>
      <c r="E1029" s="6">
        <f>Tabuľka1383132[[#This Row],[Suma bez DPH]]*1.2</f>
        <v>36</v>
      </c>
      <c r="F1029" s="1" t="s">
        <v>468</v>
      </c>
      <c r="G1029" s="1" t="s">
        <v>1098</v>
      </c>
      <c r="H1029" s="7" t="s">
        <v>1494</v>
      </c>
      <c r="I1029" s="1" t="s">
        <v>1674</v>
      </c>
    </row>
    <row r="1030" spans="1:9" x14ac:dyDescent="0.25">
      <c r="A1030" s="1" t="s">
        <v>1666</v>
      </c>
      <c r="B1030" s="1" t="s">
        <v>1677</v>
      </c>
      <c r="C1030" s="2">
        <v>44417</v>
      </c>
      <c r="D1030" s="6">
        <f>Tabuľka1383132[[#This Row],[Suma s DPH]]/1.2</f>
        <v>4268.6750000000002</v>
      </c>
      <c r="E1030" s="6">
        <v>5122.41</v>
      </c>
      <c r="F1030" s="1" t="s">
        <v>505</v>
      </c>
      <c r="G1030" s="1" t="s">
        <v>1154</v>
      </c>
      <c r="H1030" s="1" t="s">
        <v>1117</v>
      </c>
      <c r="I1030" s="1" t="s">
        <v>1678</v>
      </c>
    </row>
    <row r="1031" spans="1:9" x14ac:dyDescent="0.25">
      <c r="A1031" s="1" t="s">
        <v>1667</v>
      </c>
      <c r="B1031" s="1" t="s">
        <v>1679</v>
      </c>
      <c r="C1031" s="2">
        <v>44417</v>
      </c>
      <c r="D1031" s="29">
        <f>14380.13-23573.33</f>
        <v>-9193.2000000000025</v>
      </c>
      <c r="E1031" s="29">
        <f>Tabuľka1383132[[#This Row],[Suma bez DPH]]*1.2</f>
        <v>-11031.840000000002</v>
      </c>
      <c r="F1031" s="1" t="s">
        <v>504</v>
      </c>
      <c r="G1031" s="1" t="s">
        <v>1107</v>
      </c>
      <c r="H1031" s="1" t="s">
        <v>1108</v>
      </c>
      <c r="I1031" s="1" t="s">
        <v>1680</v>
      </c>
    </row>
    <row r="1032" spans="1:9" x14ac:dyDescent="0.25">
      <c r="A1032" s="1" t="s">
        <v>1668</v>
      </c>
      <c r="B1032" s="1" t="s">
        <v>1681</v>
      </c>
      <c r="C1032" s="2">
        <v>44419</v>
      </c>
      <c r="D1032" s="6">
        <f>87754.85</f>
        <v>87754.85</v>
      </c>
      <c r="E1032" s="6">
        <f>Tabuľka1383132[[#This Row],[Suma bez DPH]]*1.2</f>
        <v>105305.82</v>
      </c>
      <c r="F1032" s="1" t="s">
        <v>506</v>
      </c>
      <c r="G1032" s="1" t="s">
        <v>1155</v>
      </c>
      <c r="H1032" s="1" t="s">
        <v>1682</v>
      </c>
      <c r="I1032" s="1" t="s">
        <v>1683</v>
      </c>
    </row>
    <row r="1033" spans="1:9" x14ac:dyDescent="0.25">
      <c r="A1033" s="1" t="s">
        <v>1669</v>
      </c>
      <c r="B1033" s="1" t="s">
        <v>1684</v>
      </c>
      <c r="C1033" s="2">
        <v>44418</v>
      </c>
      <c r="D1033" s="6">
        <v>150</v>
      </c>
      <c r="E1033" s="6">
        <f>Tabuľka1383132[[#This Row],[Suma bez DPH]]*1.2</f>
        <v>180</v>
      </c>
      <c r="F1033" s="1" t="s">
        <v>503</v>
      </c>
      <c r="G1033" s="1" t="s">
        <v>1152</v>
      </c>
      <c r="H1033" s="1" t="s">
        <v>1507</v>
      </c>
      <c r="I1033" s="1" t="s">
        <v>1685</v>
      </c>
    </row>
    <row r="1034" spans="1:9" x14ac:dyDescent="0.25">
      <c r="A1034" s="1" t="s">
        <v>1738</v>
      </c>
      <c r="B1034" s="1" t="s">
        <v>1739</v>
      </c>
      <c r="C1034" s="2">
        <v>44431</v>
      </c>
      <c r="D1034" s="6">
        <v>656</v>
      </c>
      <c r="E1034" s="6">
        <v>787.2</v>
      </c>
      <c r="F1034" s="3" t="s">
        <v>1740</v>
      </c>
      <c r="G1034" s="1" t="s">
        <v>1741</v>
      </c>
      <c r="H1034" s="1" t="s">
        <v>1742</v>
      </c>
      <c r="I1034" s="3" t="s">
        <v>1743</v>
      </c>
    </row>
    <row r="1035" spans="1:9" x14ac:dyDescent="0.25">
      <c r="A1035" s="1" t="s">
        <v>1792</v>
      </c>
      <c r="B1035" s="1" t="s">
        <v>1813</v>
      </c>
      <c r="C1035" s="2">
        <v>44432</v>
      </c>
      <c r="D1035" s="6">
        <v>110.4</v>
      </c>
      <c r="E1035" s="6">
        <v>132.47999999999999</v>
      </c>
      <c r="F1035" s="3" t="s">
        <v>1814</v>
      </c>
      <c r="G1035" s="1" t="s">
        <v>1815</v>
      </c>
      <c r="H1035" s="1" t="s">
        <v>1816</v>
      </c>
      <c r="I1035" s="3" t="s">
        <v>1817</v>
      </c>
    </row>
    <row r="1036" spans="1:9" x14ac:dyDescent="0.25">
      <c r="A1036" s="1" t="s">
        <v>1793</v>
      </c>
      <c r="B1036" s="1" t="s">
        <v>1808</v>
      </c>
      <c r="C1036" s="2">
        <v>44432</v>
      </c>
      <c r="D1036" s="6">
        <v>306</v>
      </c>
      <c r="E1036" s="6">
        <v>367.2</v>
      </c>
      <c r="F1036" s="3" t="s">
        <v>1809</v>
      </c>
      <c r="G1036" s="1" t="s">
        <v>1810</v>
      </c>
      <c r="H1036" s="1" t="s">
        <v>1811</v>
      </c>
      <c r="I1036" s="3" t="s">
        <v>1812</v>
      </c>
    </row>
    <row r="1037" spans="1:9" x14ac:dyDescent="0.25">
      <c r="A1037" s="1" t="s">
        <v>1794</v>
      </c>
      <c r="B1037" s="1" t="s">
        <v>1797</v>
      </c>
      <c r="C1037" s="2">
        <v>44434</v>
      </c>
      <c r="D1037" s="6">
        <v>785.24</v>
      </c>
      <c r="E1037" s="6">
        <v>942.29</v>
      </c>
      <c r="F1037" s="3" t="s">
        <v>512</v>
      </c>
      <c r="G1037" s="1" t="s">
        <v>1168</v>
      </c>
      <c r="H1037" s="1" t="s">
        <v>1798</v>
      </c>
      <c r="I1037" s="3" t="s">
        <v>1799</v>
      </c>
    </row>
    <row r="1038" spans="1:9" x14ac:dyDescent="0.25">
      <c r="A1038" s="1" t="s">
        <v>1795</v>
      </c>
      <c r="B1038" s="1" t="s">
        <v>1806</v>
      </c>
      <c r="C1038" s="2">
        <v>44441</v>
      </c>
      <c r="D1038" s="6">
        <v>16352</v>
      </c>
      <c r="E1038" s="6">
        <v>19622.400000000001</v>
      </c>
      <c r="F1038" s="1" t="s">
        <v>468</v>
      </c>
      <c r="G1038" s="1" t="s">
        <v>1098</v>
      </c>
      <c r="H1038" s="1" t="s">
        <v>1192</v>
      </c>
      <c r="I1038" s="1" t="s">
        <v>1807</v>
      </c>
    </row>
    <row r="1039" spans="1:9" x14ac:dyDescent="0.25">
      <c r="A1039" s="1" t="s">
        <v>1796</v>
      </c>
      <c r="B1039" s="1" t="s">
        <v>1801</v>
      </c>
      <c r="C1039" s="2">
        <v>44438</v>
      </c>
      <c r="D1039" s="6">
        <v>212.2</v>
      </c>
      <c r="E1039" s="6">
        <v>254.64</v>
      </c>
      <c r="F1039" s="3" t="s">
        <v>1802</v>
      </c>
      <c r="G1039" s="1" t="s">
        <v>1803</v>
      </c>
      <c r="H1039" s="1" t="s">
        <v>1804</v>
      </c>
      <c r="I1039" s="3" t="s">
        <v>1805</v>
      </c>
    </row>
    <row r="1040" spans="1:9" x14ac:dyDescent="0.25">
      <c r="A1040" s="1" t="s">
        <v>1883</v>
      </c>
      <c r="B1040" s="1" t="s">
        <v>1930</v>
      </c>
      <c r="C1040" s="2">
        <v>44449</v>
      </c>
      <c r="D1040" s="6">
        <f>Tabuľka1383132[[#This Row],[Suma s DPH]]/1.2</f>
        <v>4620.4750000000004</v>
      </c>
      <c r="E1040" s="6">
        <v>5544.57</v>
      </c>
      <c r="F1040" s="3" t="s">
        <v>505</v>
      </c>
      <c r="G1040" s="1" t="s">
        <v>1154</v>
      </c>
      <c r="H1040" s="1" t="s">
        <v>1117</v>
      </c>
      <c r="I1040" s="1" t="s">
        <v>1931</v>
      </c>
    </row>
    <row r="1041" spans="1:9" x14ac:dyDescent="0.25">
      <c r="A1041" s="1" t="s">
        <v>1884</v>
      </c>
      <c r="B1041" s="1" t="s">
        <v>1932</v>
      </c>
      <c r="C1041" s="2">
        <v>44448</v>
      </c>
      <c r="D1041" s="6">
        <v>150</v>
      </c>
      <c r="E1041" s="6">
        <v>180</v>
      </c>
      <c r="F1041" s="1" t="s">
        <v>503</v>
      </c>
      <c r="G1041" s="1" t="s">
        <v>1152</v>
      </c>
      <c r="H1041" s="1" t="s">
        <v>1507</v>
      </c>
      <c r="I1041" s="1" t="s">
        <v>1933</v>
      </c>
    </row>
    <row r="1042" spans="1:9" x14ac:dyDescent="0.25">
      <c r="A1042" s="1" t="s">
        <v>1885</v>
      </c>
      <c r="B1042" s="1" t="s">
        <v>1934</v>
      </c>
      <c r="C1042" s="2">
        <v>44449</v>
      </c>
      <c r="D1042" s="6">
        <v>30</v>
      </c>
      <c r="E1042" s="6">
        <v>36</v>
      </c>
      <c r="F1042" s="1" t="s">
        <v>468</v>
      </c>
      <c r="G1042" s="1" t="s">
        <v>1098</v>
      </c>
      <c r="H1042" s="7" t="s">
        <v>1494</v>
      </c>
      <c r="I1042" s="1" t="s">
        <v>1935</v>
      </c>
    </row>
    <row r="1043" spans="1:9" x14ac:dyDescent="0.25">
      <c r="A1043" s="1" t="s">
        <v>1886</v>
      </c>
      <c r="B1043" s="1" t="s">
        <v>1936</v>
      </c>
      <c r="C1043" s="2">
        <v>44447</v>
      </c>
      <c r="D1043" s="29">
        <f>-4363.59</f>
        <v>-4363.59</v>
      </c>
      <c r="E1043" s="29">
        <v>-5236.3100000000004</v>
      </c>
      <c r="F1043" s="1" t="s">
        <v>504</v>
      </c>
      <c r="G1043" s="1" t="s">
        <v>1107</v>
      </c>
      <c r="H1043" s="1" t="s">
        <v>1108</v>
      </c>
      <c r="I1043" s="1" t="s">
        <v>1937</v>
      </c>
    </row>
    <row r="1044" spans="1:9" x14ac:dyDescent="0.25">
      <c r="A1044" s="1" t="s">
        <v>1887</v>
      </c>
      <c r="B1044" s="1" t="s">
        <v>1938</v>
      </c>
      <c r="C1044" s="2">
        <v>44447</v>
      </c>
      <c r="D1044" s="6">
        <v>2095.69</v>
      </c>
      <c r="E1044" s="6">
        <v>2514.83</v>
      </c>
      <c r="F1044" s="1" t="s">
        <v>495</v>
      </c>
      <c r="G1044" s="1" t="s">
        <v>1198</v>
      </c>
      <c r="H1044" s="1" t="s">
        <v>1108</v>
      </c>
      <c r="I1044" s="1" t="s">
        <v>1939</v>
      </c>
    </row>
    <row r="1045" spans="1:9" x14ac:dyDescent="0.25">
      <c r="A1045" s="1" t="s">
        <v>1962</v>
      </c>
      <c r="B1045" s="1" t="s">
        <v>2039</v>
      </c>
      <c r="C1045" s="2">
        <v>44455</v>
      </c>
      <c r="D1045" s="6">
        <v>2040</v>
      </c>
      <c r="E1045" s="6">
        <v>2448</v>
      </c>
      <c r="F1045" s="3" t="s">
        <v>488</v>
      </c>
      <c r="G1045" s="1" t="s">
        <v>1137</v>
      </c>
      <c r="H1045" s="1" t="s">
        <v>1138</v>
      </c>
      <c r="I1045" s="1" t="s">
        <v>2040</v>
      </c>
    </row>
    <row r="1046" spans="1:9" x14ac:dyDescent="0.25">
      <c r="A1046" s="1" t="s">
        <v>2037</v>
      </c>
      <c r="B1046" s="1" t="s">
        <v>2044</v>
      </c>
      <c r="C1046" s="2">
        <v>44462</v>
      </c>
      <c r="D1046" s="6">
        <v>1915</v>
      </c>
      <c r="E1046" s="6">
        <v>2298</v>
      </c>
      <c r="F1046" s="3" t="s">
        <v>1511</v>
      </c>
      <c r="G1046" s="1" t="s">
        <v>1512</v>
      </c>
      <c r="H1046" s="1" t="s">
        <v>2045</v>
      </c>
      <c r="I1046" s="3" t="s">
        <v>2046</v>
      </c>
    </row>
    <row r="1047" spans="1:9" x14ac:dyDescent="0.25">
      <c r="A1047" s="1" t="s">
        <v>2038</v>
      </c>
      <c r="B1047" s="1" t="s">
        <v>2041</v>
      </c>
      <c r="C1047" s="2">
        <v>44462</v>
      </c>
      <c r="D1047" s="6">
        <v>360</v>
      </c>
      <c r="E1047" s="6">
        <v>432</v>
      </c>
      <c r="F1047" s="3" t="s">
        <v>1740</v>
      </c>
      <c r="G1047" s="1" t="s">
        <v>1741</v>
      </c>
      <c r="H1047" s="1" t="s">
        <v>2042</v>
      </c>
      <c r="I1047" s="3" t="s">
        <v>2043</v>
      </c>
    </row>
    <row r="1048" spans="1:9" x14ac:dyDescent="0.25">
      <c r="A1048" s="1" t="s">
        <v>2053</v>
      </c>
      <c r="B1048" s="1" t="s">
        <v>2057</v>
      </c>
      <c r="C1048" s="2">
        <v>44469</v>
      </c>
      <c r="D1048" s="6">
        <v>16352</v>
      </c>
      <c r="E1048" s="6">
        <v>19622.400000000001</v>
      </c>
      <c r="F1048" s="1" t="s">
        <v>468</v>
      </c>
      <c r="G1048" s="1" t="s">
        <v>1098</v>
      </c>
      <c r="H1048" s="1" t="s">
        <v>1192</v>
      </c>
      <c r="I1048" s="1" t="s">
        <v>2058</v>
      </c>
    </row>
    <row r="1049" spans="1:9" x14ac:dyDescent="0.25">
      <c r="A1049" s="1" t="s">
        <v>2054</v>
      </c>
      <c r="B1049" s="1" t="s">
        <v>2059</v>
      </c>
      <c r="C1049" s="2">
        <v>44475</v>
      </c>
      <c r="D1049" s="6">
        <v>333</v>
      </c>
      <c r="E1049" s="6">
        <v>399.6</v>
      </c>
      <c r="F1049" s="3" t="s">
        <v>508</v>
      </c>
      <c r="G1049" s="1" t="s">
        <v>1159</v>
      </c>
      <c r="H1049" s="1" t="s">
        <v>2060</v>
      </c>
      <c r="I1049" s="3" t="s">
        <v>2061</v>
      </c>
    </row>
    <row r="1050" spans="1:9" x14ac:dyDescent="0.25">
      <c r="A1050" s="1" t="s">
        <v>2055</v>
      </c>
      <c r="B1050" s="1" t="s">
        <v>2062</v>
      </c>
      <c r="C1050" s="2">
        <v>44477</v>
      </c>
      <c r="D1050" s="6">
        <v>150</v>
      </c>
      <c r="E1050" s="6">
        <v>180</v>
      </c>
      <c r="F1050" s="1" t="s">
        <v>503</v>
      </c>
      <c r="G1050" s="1" t="s">
        <v>1152</v>
      </c>
      <c r="H1050" s="1" t="s">
        <v>1507</v>
      </c>
      <c r="I1050" s="1" t="s">
        <v>2063</v>
      </c>
    </row>
    <row r="1051" spans="1:9" x14ac:dyDescent="0.25">
      <c r="A1051" s="1" t="s">
        <v>2056</v>
      </c>
      <c r="B1051" s="1" t="s">
        <v>2064</v>
      </c>
      <c r="C1051" s="2">
        <v>44477</v>
      </c>
      <c r="D1051" s="6">
        <v>3097.22</v>
      </c>
      <c r="E1051" s="6">
        <v>3716.67</v>
      </c>
      <c r="F1051" s="3" t="s">
        <v>495</v>
      </c>
      <c r="G1051" s="1" t="s">
        <v>1198</v>
      </c>
      <c r="H1051" s="1" t="s">
        <v>1108</v>
      </c>
      <c r="I1051" s="1" t="s">
        <v>2065</v>
      </c>
    </row>
    <row r="1052" spans="1:9" x14ac:dyDescent="0.25">
      <c r="A1052" s="1" t="s">
        <v>2226</v>
      </c>
      <c r="B1052" s="1" t="s">
        <v>2230</v>
      </c>
      <c r="C1052" s="2">
        <v>44480</v>
      </c>
      <c r="D1052" s="6">
        <f>Tabuľka1383132[[#This Row],[Suma s DPH]]/1.2</f>
        <v>34502.65833333334</v>
      </c>
      <c r="E1052" s="6">
        <v>41403.19</v>
      </c>
      <c r="F1052" s="1" t="s">
        <v>504</v>
      </c>
      <c r="G1052" s="1" t="s">
        <v>1107</v>
      </c>
      <c r="H1052" s="1" t="s">
        <v>1108</v>
      </c>
      <c r="I1052" s="1" t="s">
        <v>2231</v>
      </c>
    </row>
    <row r="1053" spans="1:9" x14ac:dyDescent="0.25">
      <c r="A1053" s="1" t="s">
        <v>2227</v>
      </c>
      <c r="B1053" s="1" t="s">
        <v>2232</v>
      </c>
      <c r="C1053" s="2">
        <v>44480</v>
      </c>
      <c r="D1053" s="6">
        <f>Tabuľka1383132[[#This Row],[Suma s DPH]]/1.2</f>
        <v>9635.3166666666657</v>
      </c>
      <c r="E1053" s="6">
        <f>11562.38</f>
        <v>11562.38</v>
      </c>
      <c r="F1053" s="3" t="s">
        <v>505</v>
      </c>
      <c r="G1053" s="1" t="s">
        <v>1154</v>
      </c>
      <c r="H1053" s="1" t="s">
        <v>1117</v>
      </c>
      <c r="I1053" s="1" t="s">
        <v>2233</v>
      </c>
    </row>
    <row r="1054" spans="1:9" x14ac:dyDescent="0.25">
      <c r="A1054" s="1" t="s">
        <v>2234</v>
      </c>
      <c r="B1054" s="1" t="s">
        <v>2240</v>
      </c>
      <c r="C1054" s="2">
        <v>44481</v>
      </c>
      <c r="D1054" s="6">
        <v>7500</v>
      </c>
      <c r="E1054" s="6">
        <v>9000</v>
      </c>
      <c r="F1054" s="1" t="s">
        <v>468</v>
      </c>
      <c r="G1054" s="1" t="s">
        <v>1098</v>
      </c>
      <c r="H1054" s="1" t="s">
        <v>1108</v>
      </c>
      <c r="I1054" s="1" t="s">
        <v>2241</v>
      </c>
    </row>
    <row r="1055" spans="1:9" x14ac:dyDescent="0.25">
      <c r="A1055" s="1" t="s">
        <v>2235</v>
      </c>
      <c r="B1055" s="1" t="s">
        <v>2242</v>
      </c>
      <c r="C1055" s="2">
        <v>44488</v>
      </c>
      <c r="D1055" s="6">
        <v>170</v>
      </c>
      <c r="E1055" s="6">
        <v>204</v>
      </c>
      <c r="F1055" s="3" t="s">
        <v>2243</v>
      </c>
      <c r="G1055" s="1" t="s">
        <v>2244</v>
      </c>
      <c r="H1055" s="1" t="s">
        <v>2245</v>
      </c>
      <c r="I1055" s="1" t="s">
        <v>2246</v>
      </c>
    </row>
    <row r="1056" spans="1:9" x14ac:dyDescent="0.25">
      <c r="A1056" s="1" t="s">
        <v>2236</v>
      </c>
      <c r="B1056" s="1" t="s">
        <v>2247</v>
      </c>
      <c r="C1056" s="2">
        <v>44488</v>
      </c>
      <c r="D1056" s="6">
        <v>18.32</v>
      </c>
      <c r="E1056" s="6">
        <v>21.99</v>
      </c>
      <c r="F1056" s="1" t="s">
        <v>468</v>
      </c>
      <c r="G1056" s="1" t="s">
        <v>1098</v>
      </c>
      <c r="H1056" s="7" t="s">
        <v>2022</v>
      </c>
      <c r="I1056" s="1" t="s">
        <v>2248</v>
      </c>
    </row>
    <row r="1057" spans="1:9" x14ac:dyDescent="0.25">
      <c r="A1057" s="1" t="s">
        <v>2237</v>
      </c>
      <c r="B1057" s="1" t="s">
        <v>2249</v>
      </c>
      <c r="C1057" s="2">
        <v>44488</v>
      </c>
      <c r="D1057" s="6">
        <v>259.25</v>
      </c>
      <c r="E1057" s="6">
        <v>311.10000000000002</v>
      </c>
      <c r="F1057" s="1" t="s">
        <v>468</v>
      </c>
      <c r="G1057" s="1" t="s">
        <v>1098</v>
      </c>
      <c r="H1057" s="7" t="s">
        <v>2022</v>
      </c>
      <c r="I1057" s="3" t="s">
        <v>2250</v>
      </c>
    </row>
    <row r="1058" spans="1:9" x14ac:dyDescent="0.25">
      <c r="A1058" s="1" t="s">
        <v>2238</v>
      </c>
      <c r="B1058" s="1" t="s">
        <v>2251</v>
      </c>
      <c r="C1058" s="2">
        <v>44502</v>
      </c>
      <c r="D1058" s="6">
        <v>16352</v>
      </c>
      <c r="E1058" s="6">
        <v>19622.400000000001</v>
      </c>
      <c r="F1058" s="1" t="s">
        <v>468</v>
      </c>
      <c r="G1058" s="1" t="s">
        <v>1098</v>
      </c>
      <c r="H1058" s="1" t="s">
        <v>1192</v>
      </c>
      <c r="I1058" s="1" t="s">
        <v>2252</v>
      </c>
    </row>
    <row r="1059" spans="1:9" x14ac:dyDescent="0.25">
      <c r="A1059" s="1" t="s">
        <v>2239</v>
      </c>
      <c r="B1059" s="1" t="s">
        <v>2253</v>
      </c>
      <c r="C1059" s="2">
        <v>44496</v>
      </c>
      <c r="D1059" s="6">
        <v>575</v>
      </c>
      <c r="E1059" s="6">
        <v>690</v>
      </c>
      <c r="F1059" s="3" t="s">
        <v>510</v>
      </c>
      <c r="G1059" s="1" t="s">
        <v>1163</v>
      </c>
      <c r="H1059" s="22" t="s">
        <v>2254</v>
      </c>
      <c r="I1059" s="1" t="s">
        <v>2255</v>
      </c>
    </row>
    <row r="1060" spans="1:9" x14ac:dyDescent="0.25">
      <c r="A1060" s="1" t="s">
        <v>2362</v>
      </c>
      <c r="B1060" s="1" t="s">
        <v>2378</v>
      </c>
      <c r="C1060" s="2">
        <v>44505</v>
      </c>
      <c r="D1060" s="6">
        <v>3671.21</v>
      </c>
      <c r="E1060" s="6">
        <v>4405.45</v>
      </c>
      <c r="F1060" s="3" t="s">
        <v>512</v>
      </c>
      <c r="G1060" s="1" t="s">
        <v>1168</v>
      </c>
      <c r="H1060" s="1" t="s">
        <v>2379</v>
      </c>
      <c r="I1060" s="3" t="s">
        <v>2380</v>
      </c>
    </row>
    <row r="1061" spans="1:9" x14ac:dyDescent="0.25">
      <c r="A1061" s="1" t="s">
        <v>2363</v>
      </c>
      <c r="B1061" s="1" t="s">
        <v>2381</v>
      </c>
      <c r="C1061" s="2">
        <v>44504</v>
      </c>
      <c r="D1061" s="6">
        <v>2551.34</v>
      </c>
      <c r="E1061" s="6">
        <v>3061.6</v>
      </c>
      <c r="F1061" s="3" t="s">
        <v>495</v>
      </c>
      <c r="G1061" s="1" t="s">
        <v>1198</v>
      </c>
      <c r="H1061" s="1" t="s">
        <v>1108</v>
      </c>
      <c r="I1061" s="1" t="s">
        <v>2382</v>
      </c>
    </row>
    <row r="1062" spans="1:9" x14ac:dyDescent="0.25">
      <c r="A1062" s="1" t="s">
        <v>2364</v>
      </c>
      <c r="B1062" s="1" t="s">
        <v>2383</v>
      </c>
      <c r="C1062" s="2">
        <v>44505</v>
      </c>
      <c r="D1062" s="6">
        <v>60</v>
      </c>
      <c r="E1062" s="6">
        <v>72</v>
      </c>
      <c r="F1062" s="1" t="s">
        <v>468</v>
      </c>
      <c r="G1062" s="1" t="s">
        <v>1098</v>
      </c>
      <c r="H1062" s="7" t="s">
        <v>1494</v>
      </c>
      <c r="I1062" s="1" t="s">
        <v>2384</v>
      </c>
    </row>
    <row r="1063" spans="1:9" x14ac:dyDescent="0.25">
      <c r="A1063" s="1" t="s">
        <v>2365</v>
      </c>
      <c r="B1063" s="1" t="s">
        <v>2385</v>
      </c>
      <c r="C1063" s="2">
        <v>44509</v>
      </c>
      <c r="D1063" s="6">
        <v>1231.1600000000001</v>
      </c>
      <c r="E1063" s="6">
        <v>1477.4</v>
      </c>
      <c r="F1063" s="1" t="s">
        <v>504</v>
      </c>
      <c r="G1063" s="1" t="s">
        <v>1107</v>
      </c>
      <c r="H1063" s="1" t="s">
        <v>1108</v>
      </c>
      <c r="I1063" s="1" t="s">
        <v>2386</v>
      </c>
    </row>
    <row r="1064" spans="1:9" x14ac:dyDescent="0.25">
      <c r="A1064" s="1" t="s">
        <v>2366</v>
      </c>
      <c r="B1064" s="1" t="s">
        <v>2387</v>
      </c>
      <c r="C1064" s="2">
        <v>44511</v>
      </c>
      <c r="D1064" s="6">
        <v>150</v>
      </c>
      <c r="E1064" s="6">
        <v>180</v>
      </c>
      <c r="F1064" s="1" t="s">
        <v>503</v>
      </c>
      <c r="G1064" s="1" t="s">
        <v>1152</v>
      </c>
      <c r="H1064" s="1" t="s">
        <v>1507</v>
      </c>
      <c r="I1064" s="1" t="s">
        <v>2388</v>
      </c>
    </row>
    <row r="1065" spans="1:9" x14ac:dyDescent="0.25">
      <c r="A1065" s="1" t="s">
        <v>2367</v>
      </c>
      <c r="B1065" s="1" t="s">
        <v>2389</v>
      </c>
      <c r="C1065" s="2">
        <v>44510</v>
      </c>
      <c r="D1065" s="6">
        <v>4742.3500000000004</v>
      </c>
      <c r="E1065" s="6">
        <v>5690.82</v>
      </c>
      <c r="F1065" s="3" t="s">
        <v>505</v>
      </c>
      <c r="G1065" s="1" t="s">
        <v>1154</v>
      </c>
      <c r="H1065" s="1" t="s">
        <v>1117</v>
      </c>
      <c r="I1065" s="1" t="s">
        <v>2390</v>
      </c>
    </row>
    <row r="1066" spans="1:9" x14ac:dyDescent="0.25">
      <c r="A1066" s="1" t="s">
        <v>2368</v>
      </c>
      <c r="B1066" s="1" t="s">
        <v>2391</v>
      </c>
      <c r="C1066" s="2">
        <v>44512</v>
      </c>
      <c r="D1066" s="6">
        <v>374.85</v>
      </c>
      <c r="E1066" s="6">
        <v>449.82</v>
      </c>
      <c r="F1066" s="3" t="s">
        <v>2392</v>
      </c>
      <c r="G1066" s="1" t="s">
        <v>2393</v>
      </c>
      <c r="H1066" s="1" t="s">
        <v>2394</v>
      </c>
      <c r="I1066" s="3" t="s">
        <v>2395</v>
      </c>
    </row>
    <row r="1067" spans="1:9" x14ac:dyDescent="0.25">
      <c r="A1067" s="1" t="s">
        <v>2512</v>
      </c>
      <c r="B1067" s="1" t="s">
        <v>2515</v>
      </c>
      <c r="C1067" s="2">
        <v>44525</v>
      </c>
      <c r="D1067" s="6">
        <v>495</v>
      </c>
      <c r="E1067" s="6">
        <v>594</v>
      </c>
      <c r="F1067" s="3" t="s">
        <v>2467</v>
      </c>
      <c r="G1067" s="1" t="s">
        <v>2470</v>
      </c>
      <c r="H1067" s="1" t="s">
        <v>2516</v>
      </c>
      <c r="I1067" s="3" t="s">
        <v>2517</v>
      </c>
    </row>
    <row r="1068" spans="1:9" x14ac:dyDescent="0.25">
      <c r="A1068" s="1" t="s">
        <v>2513</v>
      </c>
      <c r="B1068" s="1" t="s">
        <v>2563</v>
      </c>
      <c r="C1068" s="2">
        <v>44533</v>
      </c>
      <c r="D1068" s="6">
        <v>30</v>
      </c>
      <c r="E1068" s="6">
        <v>36</v>
      </c>
      <c r="F1068" s="1" t="s">
        <v>468</v>
      </c>
      <c r="G1068" s="1" t="s">
        <v>1098</v>
      </c>
      <c r="H1068" s="7" t="s">
        <v>1494</v>
      </c>
      <c r="I1068" s="1" t="s">
        <v>2564</v>
      </c>
    </row>
    <row r="1069" spans="1:9" x14ac:dyDescent="0.25">
      <c r="A1069" s="1" t="s">
        <v>2514</v>
      </c>
      <c r="B1069" s="1" t="s">
        <v>2561</v>
      </c>
      <c r="C1069" s="2">
        <v>44533</v>
      </c>
      <c r="D1069" s="6">
        <v>16352</v>
      </c>
      <c r="E1069" s="6">
        <v>19622.400000000001</v>
      </c>
      <c r="F1069" s="1" t="s">
        <v>468</v>
      </c>
      <c r="G1069" s="1" t="s">
        <v>1098</v>
      </c>
      <c r="H1069" s="1" t="s">
        <v>1192</v>
      </c>
      <c r="I1069" s="1" t="s">
        <v>2562</v>
      </c>
    </row>
    <row r="1070" spans="1:9" x14ac:dyDescent="0.25">
      <c r="A1070" s="1" t="s">
        <v>2551</v>
      </c>
      <c r="B1070" s="1" t="s">
        <v>2560</v>
      </c>
      <c r="C1070" s="2">
        <v>44536</v>
      </c>
      <c r="D1070" s="6">
        <v>2625.1</v>
      </c>
      <c r="E1070" s="6">
        <v>3150.12</v>
      </c>
      <c r="F1070" s="3" t="s">
        <v>495</v>
      </c>
      <c r="G1070" s="1" t="s">
        <v>1198</v>
      </c>
      <c r="H1070" s="1" t="s">
        <v>1108</v>
      </c>
      <c r="I1070" s="1" t="s">
        <v>2559</v>
      </c>
    </row>
    <row r="1071" spans="1:9" x14ac:dyDescent="0.25">
      <c r="A1071" s="1" t="s">
        <v>2552</v>
      </c>
      <c r="B1071" s="1" t="s">
        <v>2558</v>
      </c>
      <c r="C1071" s="2">
        <v>44536</v>
      </c>
      <c r="D1071" s="6">
        <v>150</v>
      </c>
      <c r="E1071" s="6">
        <v>180</v>
      </c>
      <c r="F1071" s="1" t="s">
        <v>503</v>
      </c>
      <c r="G1071" s="1" t="s">
        <v>1152</v>
      </c>
      <c r="H1071" s="1" t="s">
        <v>1507</v>
      </c>
      <c r="I1071" s="1" t="s">
        <v>2557</v>
      </c>
    </row>
    <row r="1072" spans="1:9" x14ac:dyDescent="0.25">
      <c r="A1072" s="1" t="s">
        <v>2553</v>
      </c>
      <c r="B1072" s="1" t="s">
        <v>2554</v>
      </c>
      <c r="C1072" s="2">
        <v>44537</v>
      </c>
      <c r="D1072" s="6">
        <v>892.86</v>
      </c>
      <c r="E1072" s="6">
        <v>1071.43</v>
      </c>
      <c r="F1072" s="3" t="s">
        <v>1802</v>
      </c>
      <c r="G1072" s="1" t="s">
        <v>1803</v>
      </c>
      <c r="H1072" s="1" t="s">
        <v>2555</v>
      </c>
      <c r="I1072" s="3" t="s">
        <v>2556</v>
      </c>
    </row>
    <row r="1073" spans="1:9" x14ac:dyDescent="0.25">
      <c r="A1073" s="1" t="s">
        <v>2601</v>
      </c>
      <c r="B1073" s="1" t="s">
        <v>2691</v>
      </c>
      <c r="C1073" s="2">
        <v>44538</v>
      </c>
      <c r="D1073" s="6">
        <v>15</v>
      </c>
      <c r="E1073" s="6">
        <v>18</v>
      </c>
      <c r="F1073" s="1" t="s">
        <v>468</v>
      </c>
      <c r="G1073" s="1" t="s">
        <v>1098</v>
      </c>
      <c r="H1073" s="7" t="s">
        <v>2022</v>
      </c>
      <c r="I1073" s="3" t="s">
        <v>2692</v>
      </c>
    </row>
    <row r="1074" spans="1:9" x14ac:dyDescent="0.25">
      <c r="A1074" s="1" t="s">
        <v>2602</v>
      </c>
      <c r="B1074" s="1" t="s">
        <v>2694</v>
      </c>
      <c r="C1074" s="2">
        <v>44538</v>
      </c>
      <c r="D1074" s="6">
        <v>5457.65</v>
      </c>
      <c r="E1074" s="6">
        <v>6549.18</v>
      </c>
      <c r="F1074" s="3" t="s">
        <v>505</v>
      </c>
      <c r="G1074" s="1" t="s">
        <v>1154</v>
      </c>
      <c r="H1074" s="1" t="s">
        <v>1117</v>
      </c>
      <c r="I1074" s="1" t="s">
        <v>2693</v>
      </c>
    </row>
    <row r="1075" spans="1:9" x14ac:dyDescent="0.25">
      <c r="A1075" s="1" t="s">
        <v>2603</v>
      </c>
      <c r="B1075" s="1" t="s">
        <v>2696</v>
      </c>
      <c r="C1075" s="2">
        <v>44537</v>
      </c>
      <c r="D1075" s="29">
        <v>-686.88</v>
      </c>
      <c r="E1075" s="29">
        <f>-824.25</f>
        <v>-824.25</v>
      </c>
      <c r="F1075" s="1" t="s">
        <v>504</v>
      </c>
      <c r="G1075" s="1" t="s">
        <v>1107</v>
      </c>
      <c r="H1075" s="1" t="s">
        <v>1108</v>
      </c>
      <c r="I1075" s="1" t="s">
        <v>2695</v>
      </c>
    </row>
    <row r="1076" spans="1:9" x14ac:dyDescent="0.25">
      <c r="A1076" s="1" t="s">
        <v>2604</v>
      </c>
      <c r="B1076" s="1" t="s">
        <v>2697</v>
      </c>
      <c r="C1076" s="2">
        <v>44539</v>
      </c>
      <c r="D1076" s="6">
        <v>7500</v>
      </c>
      <c r="E1076" s="6">
        <v>9000</v>
      </c>
      <c r="F1076" s="1" t="s">
        <v>468</v>
      </c>
      <c r="G1076" s="1" t="s">
        <v>1098</v>
      </c>
      <c r="H1076" s="1" t="s">
        <v>1108</v>
      </c>
      <c r="I1076" s="1" t="s">
        <v>2698</v>
      </c>
    </row>
    <row r="1077" spans="1:9" x14ac:dyDescent="0.25">
      <c r="A1077" s="1" t="s">
        <v>2605</v>
      </c>
      <c r="B1077" s="1" t="s">
        <v>2699</v>
      </c>
      <c r="C1077" s="2">
        <v>44550</v>
      </c>
      <c r="D1077" s="6">
        <v>1400</v>
      </c>
      <c r="E1077" s="6">
        <v>1680</v>
      </c>
      <c r="F1077" s="3" t="s">
        <v>1522</v>
      </c>
      <c r="G1077" s="1" t="s">
        <v>1523</v>
      </c>
      <c r="H1077" s="1" t="s">
        <v>2700</v>
      </c>
      <c r="I1077" s="3" t="s">
        <v>2701</v>
      </c>
    </row>
    <row r="1078" spans="1:9" x14ac:dyDescent="0.25">
      <c r="A1078" s="1" t="s">
        <v>2606</v>
      </c>
      <c r="B1078" s="1" t="s">
        <v>2702</v>
      </c>
      <c r="C1078" s="2">
        <v>44545</v>
      </c>
      <c r="D1078" s="6">
        <v>523.63</v>
      </c>
      <c r="E1078" s="6">
        <v>523.63</v>
      </c>
      <c r="F1078" s="1" t="s">
        <v>468</v>
      </c>
      <c r="G1078" s="1" t="s">
        <v>1098</v>
      </c>
      <c r="H1078" s="1" t="s">
        <v>1108</v>
      </c>
      <c r="I1078" s="3" t="s">
        <v>2703</v>
      </c>
    </row>
    <row r="1079" spans="1:9" x14ac:dyDescent="0.25">
      <c r="A1079" s="1" t="s">
        <v>3059</v>
      </c>
      <c r="B1079" s="1" t="s">
        <v>3064</v>
      </c>
      <c r="C1079" s="1" t="s">
        <v>3063</v>
      </c>
      <c r="D1079" s="6">
        <v>354.33</v>
      </c>
      <c r="E1079" s="6">
        <v>425.2</v>
      </c>
      <c r="F1079" s="3" t="s">
        <v>3065</v>
      </c>
      <c r="G1079" s="1" t="s">
        <v>3066</v>
      </c>
      <c r="H1079" s="1" t="s">
        <v>3067</v>
      </c>
      <c r="I1079" s="3" t="s">
        <v>3068</v>
      </c>
    </row>
    <row r="1080" spans="1:9" x14ac:dyDescent="0.25">
      <c r="A1080" s="1" t="s">
        <v>3060</v>
      </c>
      <c r="B1080" s="1" t="s">
        <v>3069</v>
      </c>
      <c r="C1080" s="2">
        <v>44550</v>
      </c>
      <c r="D1080" s="6">
        <v>23419.45</v>
      </c>
      <c r="E1080" s="6">
        <v>28103.34</v>
      </c>
      <c r="F1080" s="3" t="s">
        <v>3070</v>
      </c>
      <c r="G1080" s="1" t="s">
        <v>3071</v>
      </c>
      <c r="H1080" s="1" t="s">
        <v>1102</v>
      </c>
      <c r="I1080" s="3" t="s">
        <v>3072</v>
      </c>
    </row>
    <row r="1081" spans="1:9" x14ac:dyDescent="0.25">
      <c r="A1081" s="1" t="s">
        <v>3061</v>
      </c>
      <c r="B1081" s="1" t="s">
        <v>3073</v>
      </c>
      <c r="C1081" s="2">
        <v>44558</v>
      </c>
      <c r="D1081" s="6">
        <v>1947.9</v>
      </c>
      <c r="E1081" s="6">
        <v>2337.48</v>
      </c>
      <c r="F1081" s="3" t="s">
        <v>508</v>
      </c>
      <c r="G1081" s="1" t="s">
        <v>1159</v>
      </c>
      <c r="H1081" s="1" t="s">
        <v>3074</v>
      </c>
      <c r="I1081" s="3" t="s">
        <v>3075</v>
      </c>
    </row>
    <row r="1082" spans="1:9" x14ac:dyDescent="0.25">
      <c r="A1082" s="1" t="s">
        <v>3062</v>
      </c>
      <c r="B1082" s="1" t="s">
        <v>3076</v>
      </c>
      <c r="C1082" s="2">
        <v>44559</v>
      </c>
      <c r="D1082" s="6">
        <v>16352</v>
      </c>
      <c r="E1082" s="6">
        <v>19622.400000000001</v>
      </c>
      <c r="F1082" s="1" t="s">
        <v>468</v>
      </c>
      <c r="G1082" s="1" t="s">
        <v>1098</v>
      </c>
      <c r="H1082" s="1" t="s">
        <v>1192</v>
      </c>
      <c r="I1082" s="1" t="s">
        <v>3077</v>
      </c>
    </row>
    <row r="1083" spans="1:9" x14ac:dyDescent="0.25">
      <c r="A1083" s="1" t="s">
        <v>3153</v>
      </c>
      <c r="B1083" s="1" t="s">
        <v>3165</v>
      </c>
      <c r="C1083" s="2">
        <v>44561</v>
      </c>
      <c r="D1083" s="6">
        <v>4376.74</v>
      </c>
      <c r="E1083" s="6">
        <v>5252.09</v>
      </c>
      <c r="F1083" s="3" t="s">
        <v>505</v>
      </c>
      <c r="G1083" s="1" t="s">
        <v>1154</v>
      </c>
      <c r="H1083" s="1" t="s">
        <v>1117</v>
      </c>
      <c r="I1083" s="1" t="s">
        <v>3164</v>
      </c>
    </row>
    <row r="1084" spans="1:9" x14ac:dyDescent="0.25">
      <c r="A1084" s="1" t="s">
        <v>3154</v>
      </c>
      <c r="B1084" s="1" t="s">
        <v>3163</v>
      </c>
      <c r="C1084" s="2">
        <v>44561</v>
      </c>
      <c r="D1084" s="9">
        <f>-6382.03</f>
        <v>-6382.03</v>
      </c>
      <c r="E1084" s="9">
        <f>-7658.44</f>
        <v>-7658.44</v>
      </c>
      <c r="F1084" s="1" t="s">
        <v>504</v>
      </c>
      <c r="G1084" s="1" t="s">
        <v>1107</v>
      </c>
      <c r="H1084" s="1" t="s">
        <v>1108</v>
      </c>
      <c r="I1084" s="1" t="s">
        <v>3162</v>
      </c>
    </row>
    <row r="1085" spans="1:9" x14ac:dyDescent="0.25">
      <c r="A1085" s="1" t="s">
        <v>3155</v>
      </c>
      <c r="B1085" s="1" t="s">
        <v>3161</v>
      </c>
      <c r="C1085" s="2">
        <v>44561</v>
      </c>
      <c r="D1085" s="6">
        <v>1707.4</v>
      </c>
      <c r="E1085" s="6">
        <v>2048.88</v>
      </c>
      <c r="F1085" s="3" t="s">
        <v>495</v>
      </c>
      <c r="G1085" s="1" t="s">
        <v>1198</v>
      </c>
      <c r="H1085" s="1" t="s">
        <v>1108</v>
      </c>
      <c r="I1085" s="1" t="s">
        <v>3159</v>
      </c>
    </row>
    <row r="1086" spans="1:9" x14ac:dyDescent="0.25">
      <c r="A1086" s="1" t="s">
        <v>3156</v>
      </c>
      <c r="B1086" s="1" t="s">
        <v>3160</v>
      </c>
      <c r="C1086" s="2">
        <v>44561</v>
      </c>
      <c r="D1086" s="6">
        <v>15</v>
      </c>
      <c r="E1086" s="6">
        <v>18</v>
      </c>
      <c r="F1086" s="1" t="s">
        <v>468</v>
      </c>
      <c r="G1086" s="1" t="s">
        <v>1098</v>
      </c>
      <c r="H1086" s="7" t="s">
        <v>2022</v>
      </c>
      <c r="I1086" s="3" t="s">
        <v>2692</v>
      </c>
    </row>
    <row r="1087" spans="1:9" x14ac:dyDescent="0.25">
      <c r="A1087" s="1" t="s">
        <v>3157</v>
      </c>
      <c r="B1087" s="1" t="s">
        <v>3158</v>
      </c>
      <c r="C1087" s="2">
        <v>44561</v>
      </c>
      <c r="D1087" s="6">
        <v>4.28</v>
      </c>
      <c r="E1087" s="6">
        <v>5.13</v>
      </c>
      <c r="F1087" s="3" t="s">
        <v>495</v>
      </c>
      <c r="G1087" s="1" t="s">
        <v>1198</v>
      </c>
      <c r="H1087" s="1" t="s">
        <v>1108</v>
      </c>
      <c r="I1087" s="1" t="s">
        <v>3159</v>
      </c>
    </row>
    <row r="1088" spans="1:9" x14ac:dyDescent="0.25">
      <c r="A1088" s="1"/>
      <c r="B1088" s="1"/>
      <c r="C1088" s="2"/>
      <c r="D1088" s="6"/>
      <c r="E1088" s="6"/>
      <c r="F1088" s="3"/>
      <c r="G1088" s="1"/>
      <c r="H1088" s="1"/>
      <c r="I1088" s="3"/>
    </row>
    <row r="1089" spans="1:9" x14ac:dyDescent="0.25">
      <c r="A1089" s="1"/>
      <c r="B1089" s="1"/>
      <c r="C1089" s="2"/>
      <c r="D1089" s="6"/>
      <c r="E1089" s="6"/>
      <c r="F1089" s="3"/>
      <c r="G1089" s="1"/>
      <c r="H1089" s="1"/>
      <c r="I1089" s="3"/>
    </row>
    <row r="1090" spans="1:9" x14ac:dyDescent="0.25">
      <c r="A1090" s="1"/>
      <c r="B1090" s="1"/>
      <c r="C1090" s="2"/>
      <c r="D1090" s="6"/>
      <c r="E1090" s="6"/>
      <c r="F1090" s="3"/>
      <c r="G1090" s="1"/>
      <c r="H1090" s="1"/>
      <c r="I1090" s="3"/>
    </row>
    <row r="1091" spans="1:9" x14ac:dyDescent="0.25">
      <c r="A1091" s="1"/>
      <c r="B1091" s="1"/>
      <c r="C1091" s="2"/>
      <c r="D1091" s="6"/>
      <c r="E1091" s="6"/>
      <c r="F1091" s="3"/>
      <c r="G1091" s="1"/>
      <c r="H1091" s="1"/>
      <c r="I1091" s="3"/>
    </row>
    <row r="1092" spans="1:9" x14ac:dyDescent="0.25">
      <c r="A1092" s="1"/>
      <c r="B1092" s="1"/>
      <c r="C1092" s="2"/>
      <c r="D1092" s="6"/>
      <c r="E1092" s="6"/>
      <c r="F1092" s="3"/>
      <c r="G1092" s="1"/>
      <c r="H1092" s="1"/>
      <c r="I1092" s="3"/>
    </row>
    <row r="1093" spans="1:9" x14ac:dyDescent="0.25">
      <c r="A1093" s="1"/>
      <c r="B1093" s="1"/>
      <c r="C1093" s="2"/>
      <c r="D1093" s="6"/>
      <c r="E1093" s="6"/>
      <c r="F1093" s="3"/>
      <c r="G1093" s="1"/>
      <c r="H1093" s="1"/>
      <c r="I1093" s="3"/>
    </row>
    <row r="1094" spans="1:9" x14ac:dyDescent="0.25">
      <c r="A1094" s="1"/>
      <c r="B1094" s="1"/>
      <c r="C1094" s="2"/>
      <c r="D1094" s="6"/>
      <c r="E1094" s="6"/>
      <c r="F1094" s="3"/>
      <c r="G1094" s="1"/>
      <c r="H1094" s="1"/>
      <c r="I1094" s="3"/>
    </row>
    <row r="1095" spans="1:9" x14ac:dyDescent="0.25">
      <c r="A1095" s="1"/>
      <c r="B1095" s="1"/>
      <c r="C1095" s="2"/>
      <c r="D1095" s="6"/>
      <c r="E1095" s="6"/>
      <c r="F1095" s="3"/>
      <c r="G1095" s="1"/>
      <c r="H1095" s="1"/>
      <c r="I1095" s="3"/>
    </row>
    <row r="1096" spans="1:9" x14ac:dyDescent="0.25">
      <c r="A1096" s="1"/>
      <c r="B1096" s="1"/>
      <c r="C1096" s="2"/>
      <c r="D1096" s="6"/>
      <c r="E1096" s="6"/>
      <c r="F1096" s="3"/>
      <c r="G1096" s="1"/>
      <c r="H1096" s="1"/>
      <c r="I1096" s="3"/>
    </row>
    <row r="1097" spans="1:9" x14ac:dyDescent="0.25">
      <c r="A1097" s="1"/>
      <c r="B1097" s="1"/>
      <c r="C1097" s="2"/>
      <c r="D1097" s="6"/>
      <c r="E1097" s="6"/>
      <c r="F1097" s="3"/>
      <c r="G1097" s="1"/>
      <c r="H1097" s="1"/>
      <c r="I1097" s="3"/>
    </row>
    <row r="1098" spans="1:9" x14ac:dyDescent="0.25">
      <c r="A1098" s="1"/>
      <c r="B1098" s="1"/>
      <c r="C1098" s="2"/>
      <c r="D1098" s="6"/>
      <c r="E1098" s="6"/>
      <c r="F1098" s="3"/>
      <c r="G1098" s="1"/>
      <c r="H1098" s="1"/>
      <c r="I1098" s="3"/>
    </row>
    <row r="1099" spans="1:9" x14ac:dyDescent="0.25">
      <c r="A1099" s="1"/>
      <c r="B1099" s="1"/>
      <c r="C1099" s="2"/>
      <c r="D1099" s="6"/>
      <c r="E1099" s="6"/>
      <c r="F1099" s="3"/>
      <c r="G1099" s="1"/>
      <c r="H1099" s="1"/>
      <c r="I1099" s="3"/>
    </row>
    <row r="1100" spans="1:9" x14ac:dyDescent="0.25">
      <c r="A1100" s="1"/>
      <c r="B1100" s="1"/>
      <c r="C1100" s="2"/>
      <c r="D1100" s="6"/>
      <c r="E1100" s="6"/>
      <c r="F1100" s="3"/>
      <c r="G1100" s="1"/>
      <c r="H1100" s="1"/>
      <c r="I1100" s="3"/>
    </row>
    <row r="1101" spans="1:9" x14ac:dyDescent="0.25">
      <c r="A1101" s="1"/>
      <c r="B1101" s="1"/>
      <c r="C1101" s="2"/>
      <c r="D1101" s="6"/>
      <c r="E1101" s="6"/>
      <c r="F1101" s="3"/>
      <c r="G1101" s="1"/>
      <c r="H1101" s="1"/>
      <c r="I1101" s="3"/>
    </row>
    <row r="1102" spans="1:9" x14ac:dyDescent="0.25">
      <c r="A1102" s="1"/>
      <c r="B1102" s="1"/>
      <c r="C1102" s="2"/>
      <c r="D1102" s="6"/>
      <c r="E1102" s="6"/>
      <c r="F1102" s="3"/>
      <c r="G1102" s="1"/>
      <c r="H1102" s="1"/>
      <c r="I1102" s="3"/>
    </row>
    <row r="1103" spans="1:9" x14ac:dyDescent="0.25">
      <c r="A1103" s="1"/>
      <c r="B1103" s="1"/>
      <c r="C1103" s="2"/>
      <c r="D1103" s="6"/>
      <c r="E1103" s="6"/>
      <c r="F1103" s="3"/>
      <c r="G1103" s="1"/>
      <c r="H1103" s="1"/>
      <c r="I1103" s="3"/>
    </row>
    <row r="1104" spans="1:9" x14ac:dyDescent="0.25">
      <c r="A1104" s="1"/>
      <c r="B1104" s="1"/>
      <c r="C1104" s="2"/>
      <c r="D1104" s="6"/>
      <c r="E1104" s="6"/>
      <c r="F1104" s="3"/>
      <c r="G1104" s="1"/>
      <c r="H1104" s="1"/>
      <c r="I1104" s="3"/>
    </row>
    <row r="1105" spans="1:9" x14ac:dyDescent="0.25">
      <c r="A1105" s="1"/>
      <c r="B1105" s="1"/>
      <c r="C1105" s="2"/>
      <c r="D1105" s="6"/>
      <c r="E1105" s="6"/>
      <c r="F1105" s="3"/>
      <c r="G1105" s="1"/>
      <c r="H1105" s="1"/>
      <c r="I1105" s="3"/>
    </row>
    <row r="1106" spans="1:9" x14ac:dyDescent="0.25">
      <c r="A1106" s="1"/>
      <c r="B1106" s="1"/>
      <c r="C1106" s="2"/>
      <c r="D1106" s="6"/>
      <c r="E1106" s="6"/>
      <c r="F1106" s="3"/>
      <c r="G1106" s="1"/>
      <c r="H1106" s="1"/>
      <c r="I1106" s="3"/>
    </row>
    <row r="1107" spans="1:9" x14ac:dyDescent="0.25">
      <c r="A1107" s="1"/>
      <c r="B1107" s="1"/>
      <c r="C1107" s="2"/>
      <c r="D1107" s="6"/>
      <c r="E1107" s="6"/>
      <c r="F1107" s="3"/>
      <c r="G1107" s="1"/>
      <c r="H1107" s="1"/>
      <c r="I1107" s="3"/>
    </row>
    <row r="1108" spans="1:9" x14ac:dyDescent="0.25">
      <c r="A1108" s="1"/>
      <c r="B1108" s="1"/>
      <c r="C1108" s="2"/>
      <c r="D1108" s="6"/>
      <c r="E1108" s="6"/>
      <c r="F1108" s="3"/>
      <c r="G1108" s="1"/>
      <c r="H1108" s="1"/>
      <c r="I1108" s="3"/>
    </row>
    <row r="1109" spans="1:9" x14ac:dyDescent="0.25">
      <c r="A1109" s="1"/>
      <c r="B1109" s="1"/>
      <c r="C1109" s="2"/>
      <c r="D1109" s="6"/>
      <c r="E1109" s="6"/>
      <c r="F1109" s="3"/>
      <c r="G1109" s="1"/>
      <c r="H1109" s="1"/>
      <c r="I1109" s="3"/>
    </row>
    <row r="1110" spans="1:9" x14ac:dyDescent="0.25">
      <c r="A1110" s="1"/>
      <c r="B1110" s="1"/>
      <c r="C1110" s="2"/>
      <c r="D1110" s="6"/>
      <c r="E1110" s="6"/>
      <c r="F1110" s="3"/>
      <c r="G1110" s="1"/>
      <c r="H1110" s="1"/>
      <c r="I1110" s="3"/>
    </row>
    <row r="1111" spans="1:9" x14ac:dyDescent="0.25">
      <c r="A1111" s="1"/>
      <c r="B1111" s="1"/>
      <c r="C1111" s="2"/>
      <c r="D1111" s="6"/>
      <c r="E1111" s="6"/>
      <c r="F1111" s="3"/>
      <c r="G1111" s="1"/>
      <c r="H1111" s="1"/>
      <c r="I1111" s="3"/>
    </row>
    <row r="1112" spans="1:9" x14ac:dyDescent="0.25">
      <c r="A1112" s="14"/>
      <c r="B1112" s="14"/>
      <c r="C1112" s="15"/>
      <c r="D1112" s="16"/>
      <c r="E1112" s="16"/>
      <c r="F1112" s="17"/>
      <c r="G1112" s="14"/>
      <c r="H1112" s="14"/>
      <c r="I1112" s="17"/>
    </row>
    <row r="1113" spans="1:9" x14ac:dyDescent="0.25">
      <c r="A1113" s="14"/>
      <c r="B1113" s="14"/>
      <c r="C1113" s="15"/>
      <c r="D1113" s="16"/>
      <c r="E1113" s="16"/>
      <c r="F1113" s="17"/>
      <c r="G1113" s="14"/>
      <c r="H1113" s="14"/>
      <c r="I1113" s="17"/>
    </row>
  </sheetData>
  <sheetProtection algorithmName="SHA-512" hashValue="Tpv6oHHY2zKlSgfIHMCsnd79E3lDuAVfqPOZsZjcUokC21+vF4AR0Ep3Ck4Gd4uBjKphZjR4vOIIVD+Kk/gvtw==" saltValue="yXFVvpcVMKXp3swOZQFSeA==" spinCount="100000" sheet="1"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0"/>
  <sheetViews>
    <sheetView tabSelected="1" topLeftCell="A817" zoomScale="90" zoomScaleNormal="90" workbookViewId="0">
      <selection activeCell="F835" sqref="F835"/>
    </sheetView>
  </sheetViews>
  <sheetFormatPr defaultRowHeight="15" x14ac:dyDescent="0.25"/>
  <cols>
    <col min="1" max="1" width="13.85546875" customWidth="1"/>
    <col min="2" max="2" width="12.140625" bestFit="1" customWidth="1"/>
    <col min="3" max="3" width="15.28515625" customWidth="1"/>
    <col min="4" max="4" width="17.42578125" style="5" bestFit="1" customWidth="1"/>
    <col min="5" max="5" width="13.85546875" style="5" bestFit="1" customWidth="1"/>
    <col min="6" max="6" width="32.7109375" customWidth="1"/>
    <col min="7" max="7" width="45" bestFit="1" customWidth="1"/>
    <col min="8" max="8" width="14.42578125" customWidth="1"/>
    <col min="9" max="9" width="28.28515625" customWidth="1"/>
    <col min="10" max="10" width="92.42578125" customWidth="1"/>
  </cols>
  <sheetData>
    <row r="1" spans="1:11" x14ac:dyDescent="0.25">
      <c r="A1" t="s">
        <v>1986</v>
      </c>
      <c r="B1" t="s">
        <v>1086</v>
      </c>
      <c r="C1" t="s">
        <v>3395</v>
      </c>
      <c r="D1" s="5" t="s">
        <v>1233</v>
      </c>
      <c r="E1" t="s">
        <v>1179</v>
      </c>
      <c r="F1" t="s">
        <v>1087</v>
      </c>
      <c r="G1" t="s">
        <v>3396</v>
      </c>
      <c r="H1" t="s">
        <v>1088</v>
      </c>
      <c r="I1" t="s">
        <v>1089</v>
      </c>
      <c r="J1" t="s">
        <v>1973</v>
      </c>
      <c r="K1" t="s">
        <v>1588</v>
      </c>
    </row>
    <row r="2" spans="1:11" x14ac:dyDescent="0.25">
      <c r="A2" s="1" t="s">
        <v>3950</v>
      </c>
      <c r="B2" s="1" t="s">
        <v>3291</v>
      </c>
      <c r="C2" s="2">
        <v>44578</v>
      </c>
      <c r="D2" s="24">
        <v>50.76</v>
      </c>
      <c r="E2" s="21">
        <v>60.9</v>
      </c>
      <c r="F2" s="1" t="s">
        <v>467</v>
      </c>
      <c r="G2" s="1" t="s">
        <v>3397</v>
      </c>
      <c r="H2" s="22" t="s">
        <v>1099</v>
      </c>
      <c r="I2" s="1" t="s">
        <v>1117</v>
      </c>
      <c r="J2" s="1" t="s">
        <v>3482</v>
      </c>
    </row>
    <row r="3" spans="1:11" x14ac:dyDescent="0.25">
      <c r="A3" s="1" t="s">
        <v>3951</v>
      </c>
      <c r="B3" s="1" t="s">
        <v>3293</v>
      </c>
      <c r="C3" s="2">
        <v>44578</v>
      </c>
      <c r="D3" s="6">
        <v>2.7</v>
      </c>
      <c r="E3" s="6">
        <v>3.24</v>
      </c>
      <c r="F3" s="1" t="s">
        <v>468</v>
      </c>
      <c r="G3" s="1" t="s">
        <v>3398</v>
      </c>
      <c r="H3" s="1" t="s">
        <v>1098</v>
      </c>
      <c r="I3" s="22" t="s">
        <v>1189</v>
      </c>
      <c r="J3" s="1" t="s">
        <v>3215</v>
      </c>
    </row>
    <row r="4" spans="1:11" x14ac:dyDescent="0.25">
      <c r="A4" s="1" t="s">
        <v>3952</v>
      </c>
      <c r="B4" s="1" t="s">
        <v>3294</v>
      </c>
      <c r="C4" s="2">
        <v>44582</v>
      </c>
      <c r="D4" s="6">
        <v>37</v>
      </c>
      <c r="E4" s="6">
        <v>44.4</v>
      </c>
      <c r="F4" s="1" t="s">
        <v>470</v>
      </c>
      <c r="G4" s="1" t="s">
        <v>3399</v>
      </c>
      <c r="H4" s="1" t="s">
        <v>1101</v>
      </c>
      <c r="I4" s="22" t="s">
        <v>3390</v>
      </c>
      <c r="J4" s="1" t="s">
        <v>982</v>
      </c>
    </row>
    <row r="5" spans="1:11" x14ac:dyDescent="0.25">
      <c r="A5" s="1" t="s">
        <v>3953</v>
      </c>
      <c r="B5" s="1" t="s">
        <v>3295</v>
      </c>
      <c r="C5" s="2">
        <v>44581</v>
      </c>
      <c r="D5" s="6">
        <v>592</v>
      </c>
      <c r="E5" s="6">
        <v>710.4</v>
      </c>
      <c r="F5" s="1" t="s">
        <v>470</v>
      </c>
      <c r="G5" s="1" t="s">
        <v>3399</v>
      </c>
      <c r="H5" s="1" t="s">
        <v>1101</v>
      </c>
      <c r="I5" s="22" t="s">
        <v>3390</v>
      </c>
      <c r="J5" s="1" t="s">
        <v>982</v>
      </c>
    </row>
    <row r="6" spans="1:11" x14ac:dyDescent="0.25">
      <c r="A6" s="1" t="s">
        <v>3954</v>
      </c>
      <c r="B6" s="1" t="s">
        <v>3296</v>
      </c>
      <c r="C6" s="2">
        <v>44582</v>
      </c>
      <c r="D6" s="6">
        <v>158.9</v>
      </c>
      <c r="E6" s="6">
        <v>190.68</v>
      </c>
      <c r="F6" s="1" t="s">
        <v>470</v>
      </c>
      <c r="G6" s="1" t="s">
        <v>3399</v>
      </c>
      <c r="H6" s="1" t="s">
        <v>1101</v>
      </c>
      <c r="I6" s="22" t="s">
        <v>3390</v>
      </c>
      <c r="J6" s="1" t="s">
        <v>982</v>
      </c>
    </row>
    <row r="7" spans="1:11" x14ac:dyDescent="0.25">
      <c r="A7" s="1" t="s">
        <v>3955</v>
      </c>
      <c r="B7" s="1" t="s">
        <v>3297</v>
      </c>
      <c r="C7" s="2">
        <v>44596</v>
      </c>
      <c r="D7" s="6">
        <v>656</v>
      </c>
      <c r="E7" s="6">
        <v>787.2</v>
      </c>
      <c r="F7" s="1" t="s">
        <v>470</v>
      </c>
      <c r="G7" s="1" t="s">
        <v>3399</v>
      </c>
      <c r="H7" s="1" t="s">
        <v>1101</v>
      </c>
      <c r="I7" s="22" t="s">
        <v>3391</v>
      </c>
      <c r="J7" s="1" t="s">
        <v>982</v>
      </c>
    </row>
    <row r="8" spans="1:11" x14ac:dyDescent="0.25">
      <c r="A8" s="1" t="s">
        <v>3956</v>
      </c>
      <c r="B8" s="1" t="s">
        <v>3298</v>
      </c>
      <c r="C8" s="2">
        <v>44600</v>
      </c>
      <c r="D8" s="6">
        <v>118.6</v>
      </c>
      <c r="E8" s="6">
        <v>142.32</v>
      </c>
      <c r="F8" s="1" t="s">
        <v>470</v>
      </c>
      <c r="G8" s="1" t="s">
        <v>3399</v>
      </c>
      <c r="H8" s="1" t="s">
        <v>1101</v>
      </c>
      <c r="I8" s="22" t="s">
        <v>3390</v>
      </c>
      <c r="J8" s="1" t="s">
        <v>982</v>
      </c>
    </row>
    <row r="9" spans="1:11" x14ac:dyDescent="0.25">
      <c r="A9" s="1" t="s">
        <v>3957</v>
      </c>
      <c r="B9" s="1" t="s">
        <v>3300</v>
      </c>
      <c r="C9" s="2">
        <v>44593</v>
      </c>
      <c r="D9" s="12">
        <v>1736</v>
      </c>
      <c r="E9" s="12">
        <v>2083.1999999999998</v>
      </c>
      <c r="F9" s="1" t="s">
        <v>2597</v>
      </c>
      <c r="G9" s="1" t="s">
        <v>3401</v>
      </c>
      <c r="H9" s="1" t="s">
        <v>2598</v>
      </c>
      <c r="I9" s="1" t="s">
        <v>3402</v>
      </c>
      <c r="J9" s="1" t="s">
        <v>3299</v>
      </c>
    </row>
    <row r="10" spans="1:11" x14ac:dyDescent="0.25">
      <c r="A10" s="1" t="s">
        <v>3958</v>
      </c>
      <c r="B10" s="1" t="s">
        <v>3301</v>
      </c>
      <c r="C10" s="2">
        <v>44600</v>
      </c>
      <c r="D10" s="6">
        <v>936</v>
      </c>
      <c r="E10" s="6">
        <v>936</v>
      </c>
      <c r="F10" s="1" t="s">
        <v>473</v>
      </c>
      <c r="G10" s="1" t="s">
        <v>3403</v>
      </c>
      <c r="H10" s="1" t="s">
        <v>1109</v>
      </c>
      <c r="I10" s="22" t="s">
        <v>3404</v>
      </c>
      <c r="J10" s="1" t="s">
        <v>3302</v>
      </c>
    </row>
    <row r="11" spans="1:11" x14ac:dyDescent="0.25">
      <c r="A11" s="1" t="s">
        <v>3959</v>
      </c>
      <c r="B11" s="1" t="s">
        <v>3303</v>
      </c>
      <c r="C11" s="2">
        <v>44596</v>
      </c>
      <c r="D11" s="6">
        <v>165.96</v>
      </c>
      <c r="E11" s="6">
        <v>199.15</v>
      </c>
      <c r="F11" s="1" t="s">
        <v>466</v>
      </c>
      <c r="G11" s="1" t="s">
        <v>3406</v>
      </c>
      <c r="H11" s="1" t="s">
        <v>1105</v>
      </c>
      <c r="I11" s="22" t="s">
        <v>3405</v>
      </c>
      <c r="J11" s="1" t="s">
        <v>3304</v>
      </c>
    </row>
    <row r="12" spans="1:11" x14ac:dyDescent="0.25">
      <c r="A12" s="1" t="s">
        <v>3960</v>
      </c>
      <c r="B12" s="1" t="s">
        <v>3305</v>
      </c>
      <c r="C12" s="2">
        <v>44602</v>
      </c>
      <c r="D12" s="6">
        <v>39.67</v>
      </c>
      <c r="E12" s="6">
        <v>47.6</v>
      </c>
      <c r="F12" s="1" t="s">
        <v>466</v>
      </c>
      <c r="G12" s="1" t="s">
        <v>3406</v>
      </c>
      <c r="H12" s="1" t="s">
        <v>1105</v>
      </c>
      <c r="I12" s="22" t="s">
        <v>3405</v>
      </c>
      <c r="J12" s="1" t="s">
        <v>3306</v>
      </c>
    </row>
    <row r="13" spans="1:11" x14ac:dyDescent="0.25">
      <c r="A13" s="1" t="s">
        <v>3961</v>
      </c>
      <c r="B13" s="1" t="s">
        <v>3307</v>
      </c>
      <c r="C13" s="2">
        <v>44599</v>
      </c>
      <c r="D13" s="6">
        <v>132.11000000000001</v>
      </c>
      <c r="E13" s="6">
        <v>158.53</v>
      </c>
      <c r="F13" s="1" t="s">
        <v>468</v>
      </c>
      <c r="G13" s="1" t="s">
        <v>3398</v>
      </c>
      <c r="H13" s="1" t="s">
        <v>1098</v>
      </c>
      <c r="I13" s="22" t="s">
        <v>1189</v>
      </c>
      <c r="J13" s="1" t="s">
        <v>3308</v>
      </c>
    </row>
    <row r="14" spans="1:11" x14ac:dyDescent="0.25">
      <c r="A14" s="1" t="s">
        <v>3962</v>
      </c>
      <c r="B14" s="1" t="s">
        <v>3311</v>
      </c>
      <c r="C14" s="2">
        <v>44599</v>
      </c>
      <c r="D14" s="31">
        <v>-256.39</v>
      </c>
      <c r="E14" s="31">
        <f>-307.67</f>
        <v>-307.67</v>
      </c>
      <c r="F14" s="1" t="s">
        <v>468</v>
      </c>
      <c r="G14" s="1" t="s">
        <v>3398</v>
      </c>
      <c r="H14" s="1" t="s">
        <v>1098</v>
      </c>
      <c r="I14" s="22" t="s">
        <v>1189</v>
      </c>
      <c r="J14" s="1" t="s">
        <v>3313</v>
      </c>
    </row>
    <row r="15" spans="1:11" x14ac:dyDescent="0.25">
      <c r="A15" s="1" t="s">
        <v>3963</v>
      </c>
      <c r="B15" s="1" t="s">
        <v>3312</v>
      </c>
      <c r="C15" s="2">
        <v>44599</v>
      </c>
      <c r="D15" s="6">
        <v>2935</v>
      </c>
      <c r="E15" s="6">
        <v>3522</v>
      </c>
      <c r="F15" s="1" t="s">
        <v>468</v>
      </c>
      <c r="G15" s="1" t="s">
        <v>3398</v>
      </c>
      <c r="H15" s="1" t="s">
        <v>1098</v>
      </c>
      <c r="I15" s="22" t="s">
        <v>1189</v>
      </c>
      <c r="J15" s="1" t="s">
        <v>3318</v>
      </c>
    </row>
    <row r="16" spans="1:11" x14ac:dyDescent="0.25">
      <c r="A16" s="1" t="s">
        <v>3964</v>
      </c>
      <c r="B16" s="1" t="s">
        <v>3309</v>
      </c>
      <c r="C16" s="2">
        <v>44596</v>
      </c>
      <c r="D16" s="6">
        <v>18987</v>
      </c>
      <c r="E16" s="6">
        <v>22784.400000000001</v>
      </c>
      <c r="F16" s="1" t="s">
        <v>468</v>
      </c>
      <c r="G16" s="1" t="s">
        <v>3398</v>
      </c>
      <c r="H16" s="1" t="s">
        <v>1098</v>
      </c>
      <c r="I16" s="22" t="s">
        <v>1189</v>
      </c>
      <c r="J16" s="1" t="s">
        <v>3310</v>
      </c>
    </row>
    <row r="17" spans="1:10" x14ac:dyDescent="0.25">
      <c r="A17" s="1" t="s">
        <v>3965</v>
      </c>
      <c r="B17" s="1" t="s">
        <v>3314</v>
      </c>
      <c r="C17" s="2">
        <v>44586</v>
      </c>
      <c r="D17" s="6">
        <v>193.5</v>
      </c>
      <c r="E17" s="6">
        <v>232.2</v>
      </c>
      <c r="F17" s="1" t="s">
        <v>468</v>
      </c>
      <c r="G17" s="1" t="s">
        <v>3398</v>
      </c>
      <c r="H17" s="1" t="s">
        <v>1098</v>
      </c>
      <c r="I17" s="22" t="s">
        <v>1189</v>
      </c>
      <c r="J17" s="1" t="s">
        <v>3315</v>
      </c>
    </row>
    <row r="18" spans="1:10" x14ac:dyDescent="0.25">
      <c r="A18" s="1" t="s">
        <v>3966</v>
      </c>
      <c r="B18" s="1" t="s">
        <v>3316</v>
      </c>
      <c r="C18" s="2">
        <v>44586</v>
      </c>
      <c r="D18" s="6">
        <v>2948.05</v>
      </c>
      <c r="E18" s="6">
        <v>3537.66</v>
      </c>
      <c r="F18" s="1" t="s">
        <v>468</v>
      </c>
      <c r="G18" s="1" t="s">
        <v>3398</v>
      </c>
      <c r="H18" s="1" t="s">
        <v>1098</v>
      </c>
      <c r="I18" s="22" t="s">
        <v>1189</v>
      </c>
      <c r="J18" s="1" t="s">
        <v>3317</v>
      </c>
    </row>
    <row r="19" spans="1:10" x14ac:dyDescent="0.25">
      <c r="A19" s="1" t="s">
        <v>3967</v>
      </c>
      <c r="B19" s="1" t="s">
        <v>3319</v>
      </c>
      <c r="C19" s="2">
        <v>44600</v>
      </c>
      <c r="D19" s="6">
        <v>193.5</v>
      </c>
      <c r="E19" s="6">
        <v>193.5</v>
      </c>
      <c r="F19" s="1" t="s">
        <v>3320</v>
      </c>
      <c r="G19" s="1" t="s">
        <v>3408</v>
      </c>
      <c r="H19" s="1" t="s">
        <v>1144</v>
      </c>
      <c r="I19" s="1" t="s">
        <v>3321</v>
      </c>
      <c r="J19" s="1" t="s">
        <v>3322</v>
      </c>
    </row>
    <row r="20" spans="1:10" x14ac:dyDescent="0.25">
      <c r="A20" s="1" t="s">
        <v>3968</v>
      </c>
      <c r="B20" s="1" t="s">
        <v>3323</v>
      </c>
      <c r="C20" s="2">
        <v>44587</v>
      </c>
      <c r="D20" s="6">
        <v>584.6</v>
      </c>
      <c r="E20" s="6">
        <v>701.52</v>
      </c>
      <c r="F20" s="1" t="s">
        <v>466</v>
      </c>
      <c r="G20" s="1" t="s">
        <v>3406</v>
      </c>
      <c r="H20" s="1" t="s">
        <v>1105</v>
      </c>
      <c r="I20" s="22" t="s">
        <v>3394</v>
      </c>
      <c r="J20" s="1" t="s">
        <v>2525</v>
      </c>
    </row>
    <row r="21" spans="1:10" x14ac:dyDescent="0.25">
      <c r="A21" s="1" t="s">
        <v>3969</v>
      </c>
      <c r="B21" s="1" t="s">
        <v>3324</v>
      </c>
      <c r="C21" s="2">
        <v>44586</v>
      </c>
      <c r="D21" s="6">
        <v>31.4</v>
      </c>
      <c r="E21" s="6">
        <v>37.68</v>
      </c>
      <c r="F21" s="1" t="s">
        <v>470</v>
      </c>
      <c r="G21" s="1" t="s">
        <v>3399</v>
      </c>
      <c r="H21" s="1" t="s">
        <v>1101</v>
      </c>
      <c r="I21" s="22" t="s">
        <v>3390</v>
      </c>
      <c r="J21" s="1" t="s">
        <v>982</v>
      </c>
    </row>
    <row r="22" spans="1:10" x14ac:dyDescent="0.25">
      <c r="A22" s="1" t="s">
        <v>3970</v>
      </c>
      <c r="B22" s="1" t="s">
        <v>3331</v>
      </c>
      <c r="C22" s="2">
        <v>44588</v>
      </c>
      <c r="D22" s="6">
        <v>104.8</v>
      </c>
      <c r="E22" s="6">
        <v>125.76</v>
      </c>
      <c r="F22" s="1" t="s">
        <v>470</v>
      </c>
      <c r="G22" s="1" t="s">
        <v>3399</v>
      </c>
      <c r="H22" s="1" t="s">
        <v>1101</v>
      </c>
      <c r="I22" s="22" t="s">
        <v>3390</v>
      </c>
      <c r="J22" s="1" t="s">
        <v>982</v>
      </c>
    </row>
    <row r="23" spans="1:10" x14ac:dyDescent="0.25">
      <c r="A23" s="1" t="s">
        <v>3971</v>
      </c>
      <c r="B23" s="1" t="s">
        <v>3332</v>
      </c>
      <c r="C23" s="2">
        <v>44588</v>
      </c>
      <c r="D23" s="6">
        <v>420</v>
      </c>
      <c r="E23" s="6">
        <v>504</v>
      </c>
      <c r="F23" s="1" t="s">
        <v>470</v>
      </c>
      <c r="G23" s="1" t="s">
        <v>3399</v>
      </c>
      <c r="H23" s="1" t="s">
        <v>1101</v>
      </c>
      <c r="I23" s="22" t="s">
        <v>3390</v>
      </c>
      <c r="J23" s="1" t="s">
        <v>982</v>
      </c>
    </row>
    <row r="24" spans="1:10" x14ac:dyDescent="0.25">
      <c r="A24" s="1" t="s">
        <v>3972</v>
      </c>
      <c r="B24" s="1" t="s">
        <v>3333</v>
      </c>
      <c r="C24" s="2">
        <v>44589</v>
      </c>
      <c r="D24" s="6">
        <v>1973.69</v>
      </c>
      <c r="E24" s="6">
        <v>2368.4299999999998</v>
      </c>
      <c r="F24" s="1" t="s">
        <v>470</v>
      </c>
      <c r="G24" s="1" t="s">
        <v>3399</v>
      </c>
      <c r="H24" s="1" t="s">
        <v>1101</v>
      </c>
      <c r="I24" s="22" t="s">
        <v>3400</v>
      </c>
      <c r="J24" s="1" t="s">
        <v>3334</v>
      </c>
    </row>
    <row r="25" spans="1:10" x14ac:dyDescent="0.25">
      <c r="A25" s="1" t="s">
        <v>3973</v>
      </c>
      <c r="B25" s="1" t="s">
        <v>3325</v>
      </c>
      <c r="C25" s="2">
        <v>44593</v>
      </c>
      <c r="D25" s="6">
        <v>16.5</v>
      </c>
      <c r="E25" s="6">
        <v>16.5</v>
      </c>
      <c r="F25" s="1" t="s">
        <v>469</v>
      </c>
      <c r="G25" s="33" t="s">
        <v>3407</v>
      </c>
      <c r="H25" s="4" t="s">
        <v>1100</v>
      </c>
      <c r="I25" s="4" t="s">
        <v>1100</v>
      </c>
      <c r="J25" s="1" t="s">
        <v>1940</v>
      </c>
    </row>
    <row r="26" spans="1:10" x14ac:dyDescent="0.25">
      <c r="A26" s="1" t="s">
        <v>3974</v>
      </c>
      <c r="B26" s="1" t="s">
        <v>3326</v>
      </c>
      <c r="C26" s="2">
        <v>44593</v>
      </c>
      <c r="D26" s="6">
        <v>49.5</v>
      </c>
      <c r="E26" s="6">
        <v>49.5</v>
      </c>
      <c r="F26" s="1" t="s">
        <v>469</v>
      </c>
      <c r="G26" s="33" t="s">
        <v>3407</v>
      </c>
      <c r="H26" s="4" t="s">
        <v>1100</v>
      </c>
      <c r="I26" s="4" t="s">
        <v>1100</v>
      </c>
      <c r="J26" s="1" t="s">
        <v>1940</v>
      </c>
    </row>
    <row r="27" spans="1:10" x14ac:dyDescent="0.25">
      <c r="A27" s="1" t="s">
        <v>3975</v>
      </c>
      <c r="B27" s="1" t="s">
        <v>3327</v>
      </c>
      <c r="C27" s="2">
        <v>44593</v>
      </c>
      <c r="D27" s="6">
        <v>35.5</v>
      </c>
      <c r="E27" s="6">
        <v>35.5</v>
      </c>
      <c r="F27" s="1" t="s">
        <v>469</v>
      </c>
      <c r="G27" s="33" t="s">
        <v>3407</v>
      </c>
      <c r="H27" s="4" t="s">
        <v>1100</v>
      </c>
      <c r="I27" s="4" t="s">
        <v>1100</v>
      </c>
      <c r="J27" s="1" t="s">
        <v>1940</v>
      </c>
    </row>
    <row r="28" spans="1:10" x14ac:dyDescent="0.25">
      <c r="A28" s="1" t="s">
        <v>3976</v>
      </c>
      <c r="B28" s="1" t="s">
        <v>3328</v>
      </c>
      <c r="C28" s="2">
        <v>44593</v>
      </c>
      <c r="D28" s="6">
        <v>78.5</v>
      </c>
      <c r="E28" s="6">
        <v>78.5</v>
      </c>
      <c r="F28" s="1" t="s">
        <v>469</v>
      </c>
      <c r="G28" s="33" t="s">
        <v>3407</v>
      </c>
      <c r="H28" s="4" t="s">
        <v>1100</v>
      </c>
      <c r="I28" s="4" t="s">
        <v>1100</v>
      </c>
      <c r="J28" s="1" t="s">
        <v>1940</v>
      </c>
    </row>
    <row r="29" spans="1:10" x14ac:dyDescent="0.25">
      <c r="A29" s="1" t="s">
        <v>3977</v>
      </c>
      <c r="B29" s="1" t="s">
        <v>3329</v>
      </c>
      <c r="C29" s="2">
        <v>44593</v>
      </c>
      <c r="D29" s="6">
        <v>16.5</v>
      </c>
      <c r="E29" s="6">
        <v>16.5</v>
      </c>
      <c r="F29" s="1" t="s">
        <v>469</v>
      </c>
      <c r="G29" s="33" t="s">
        <v>3407</v>
      </c>
      <c r="H29" s="4" t="s">
        <v>1100</v>
      </c>
      <c r="I29" s="4" t="s">
        <v>1100</v>
      </c>
      <c r="J29" s="1" t="s">
        <v>1940</v>
      </c>
    </row>
    <row r="30" spans="1:10" x14ac:dyDescent="0.25">
      <c r="A30" s="1" t="s">
        <v>3978</v>
      </c>
      <c r="B30" s="1" t="s">
        <v>3330</v>
      </c>
      <c r="C30" s="2">
        <v>44593</v>
      </c>
      <c r="D30" s="6">
        <v>118</v>
      </c>
      <c r="E30" s="6">
        <v>118</v>
      </c>
      <c r="F30" s="1" t="s">
        <v>469</v>
      </c>
      <c r="G30" s="32" t="s">
        <v>3407</v>
      </c>
      <c r="H30" s="4" t="s">
        <v>1100</v>
      </c>
      <c r="I30" s="4" t="s">
        <v>1100</v>
      </c>
      <c r="J30" s="1" t="s">
        <v>1940</v>
      </c>
    </row>
    <row r="31" spans="1:10" x14ac:dyDescent="0.25">
      <c r="A31" s="1" t="s">
        <v>3979</v>
      </c>
      <c r="B31" s="1" t="s">
        <v>3336</v>
      </c>
      <c r="C31" s="2">
        <v>44606</v>
      </c>
      <c r="D31" s="6">
        <v>548.6</v>
      </c>
      <c r="E31" s="6">
        <v>658.32</v>
      </c>
      <c r="F31" s="1" t="s">
        <v>504</v>
      </c>
      <c r="G31" s="1" t="s">
        <v>3409</v>
      </c>
      <c r="H31" s="22" t="s">
        <v>1107</v>
      </c>
      <c r="I31" s="22" t="s">
        <v>3410</v>
      </c>
      <c r="J31" s="1" t="s">
        <v>2414</v>
      </c>
    </row>
    <row r="32" spans="1:10" x14ac:dyDescent="0.25">
      <c r="A32" s="1" t="s">
        <v>3980</v>
      </c>
      <c r="B32" s="1" t="s">
        <v>3335</v>
      </c>
      <c r="C32" s="2">
        <v>44608</v>
      </c>
      <c r="D32" s="6">
        <v>16.5</v>
      </c>
      <c r="E32" s="6">
        <v>16.5</v>
      </c>
      <c r="F32" s="1" t="s">
        <v>469</v>
      </c>
      <c r="G32" s="33" t="s">
        <v>3407</v>
      </c>
      <c r="H32" s="4" t="s">
        <v>1100</v>
      </c>
      <c r="I32" s="4" t="s">
        <v>1100</v>
      </c>
      <c r="J32" s="1" t="s">
        <v>1940</v>
      </c>
    </row>
    <row r="33" spans="1:10" x14ac:dyDescent="0.25">
      <c r="A33" s="1" t="s">
        <v>3981</v>
      </c>
      <c r="B33" s="1" t="s">
        <v>3337</v>
      </c>
      <c r="C33" s="2">
        <v>44607</v>
      </c>
      <c r="D33" s="6">
        <v>105</v>
      </c>
      <c r="E33" s="6">
        <v>105</v>
      </c>
      <c r="F33" s="1" t="s">
        <v>469</v>
      </c>
      <c r="G33" s="32" t="s">
        <v>3407</v>
      </c>
      <c r="H33" s="4" t="s">
        <v>1100</v>
      </c>
      <c r="I33" s="4" t="s">
        <v>1100</v>
      </c>
      <c r="J33" s="1" t="s">
        <v>1940</v>
      </c>
    </row>
    <row r="34" spans="1:10" x14ac:dyDescent="0.25">
      <c r="A34" s="1" t="s">
        <v>3982</v>
      </c>
      <c r="B34" s="1" t="s">
        <v>3338</v>
      </c>
      <c r="C34" s="2">
        <v>44607</v>
      </c>
      <c r="D34" s="24">
        <v>50.76</v>
      </c>
      <c r="E34" s="21">
        <v>60.9</v>
      </c>
      <c r="F34" s="1" t="s">
        <v>467</v>
      </c>
      <c r="G34" s="1" t="s">
        <v>3397</v>
      </c>
      <c r="H34" s="22" t="s">
        <v>1099</v>
      </c>
      <c r="I34" s="1" t="s">
        <v>1117</v>
      </c>
      <c r="J34" s="1" t="s">
        <v>3292</v>
      </c>
    </row>
    <row r="35" spans="1:10" x14ac:dyDescent="0.25">
      <c r="A35" s="1" t="s">
        <v>3983</v>
      </c>
      <c r="B35" s="1" t="s">
        <v>3339</v>
      </c>
      <c r="C35" s="2">
        <v>44609</v>
      </c>
      <c r="D35" s="6">
        <v>790</v>
      </c>
      <c r="E35" s="6">
        <v>948</v>
      </c>
      <c r="F35" s="1" t="s">
        <v>470</v>
      </c>
      <c r="G35" s="1" t="s">
        <v>3399</v>
      </c>
      <c r="H35" s="1" t="s">
        <v>1101</v>
      </c>
      <c r="I35" s="22" t="s">
        <v>3392</v>
      </c>
      <c r="J35" s="1" t="s">
        <v>982</v>
      </c>
    </row>
    <row r="36" spans="1:10" x14ac:dyDescent="0.25">
      <c r="A36" s="1" t="s">
        <v>3984</v>
      </c>
      <c r="B36" s="1" t="s">
        <v>3340</v>
      </c>
      <c r="C36" s="2">
        <v>44607</v>
      </c>
      <c r="D36" s="6">
        <v>2364.66</v>
      </c>
      <c r="E36" s="6">
        <v>2837.59</v>
      </c>
      <c r="F36" s="1" t="s">
        <v>475</v>
      </c>
      <c r="G36" s="1" t="s">
        <v>3411</v>
      </c>
      <c r="H36" s="22" t="s">
        <v>1115</v>
      </c>
      <c r="I36" s="1" t="s">
        <v>3412</v>
      </c>
      <c r="J36" s="1" t="s">
        <v>3341</v>
      </c>
    </row>
    <row r="37" spans="1:10" x14ac:dyDescent="0.25">
      <c r="A37" s="1" t="s">
        <v>3985</v>
      </c>
      <c r="B37" s="1" t="s">
        <v>3342</v>
      </c>
      <c r="C37" s="2">
        <v>44608</v>
      </c>
      <c r="D37" s="24">
        <v>45</v>
      </c>
      <c r="E37" s="24">
        <v>54</v>
      </c>
      <c r="F37" s="1" t="s">
        <v>468</v>
      </c>
      <c r="G37" s="1" t="s">
        <v>3398</v>
      </c>
      <c r="H37" s="1" t="s">
        <v>1098</v>
      </c>
      <c r="I37" s="22" t="s">
        <v>1189</v>
      </c>
      <c r="J37" s="1" t="s">
        <v>3270</v>
      </c>
    </row>
    <row r="38" spans="1:10" x14ac:dyDescent="0.25">
      <c r="A38" s="1" t="s">
        <v>3986</v>
      </c>
      <c r="B38" s="1" t="s">
        <v>3346</v>
      </c>
      <c r="C38" s="2">
        <v>44608</v>
      </c>
      <c r="D38" s="6">
        <v>1806.53</v>
      </c>
      <c r="E38" s="6">
        <v>2167.84</v>
      </c>
      <c r="F38" s="1" t="s">
        <v>468</v>
      </c>
      <c r="G38" s="1" t="s">
        <v>3398</v>
      </c>
      <c r="H38" s="1" t="s">
        <v>1098</v>
      </c>
      <c r="I38" s="22" t="s">
        <v>1189</v>
      </c>
      <c r="J38" s="1" t="s">
        <v>3347</v>
      </c>
    </row>
    <row r="39" spans="1:10" x14ac:dyDescent="0.25">
      <c r="A39" s="1" t="s">
        <v>3987</v>
      </c>
      <c r="B39" s="1" t="s">
        <v>3344</v>
      </c>
      <c r="C39" s="2">
        <v>44609</v>
      </c>
      <c r="D39" s="6">
        <v>596.79999999999995</v>
      </c>
      <c r="E39" s="6">
        <v>716.16</v>
      </c>
      <c r="F39" s="1" t="s">
        <v>468</v>
      </c>
      <c r="G39" s="1" t="s">
        <v>3398</v>
      </c>
      <c r="H39" s="1" t="s">
        <v>1098</v>
      </c>
      <c r="I39" s="22" t="s">
        <v>1189</v>
      </c>
      <c r="J39" s="1" t="s">
        <v>3345</v>
      </c>
    </row>
    <row r="40" spans="1:10" x14ac:dyDescent="0.25">
      <c r="A40" s="1" t="s">
        <v>3988</v>
      </c>
      <c r="B40" s="1" t="s">
        <v>3343</v>
      </c>
      <c r="C40" s="2">
        <v>44609</v>
      </c>
      <c r="D40" s="6">
        <v>227.72</v>
      </c>
      <c r="E40" s="6">
        <v>273.26</v>
      </c>
      <c r="F40" s="1" t="s">
        <v>468</v>
      </c>
      <c r="G40" s="1" t="s">
        <v>3398</v>
      </c>
      <c r="H40" s="1" t="s">
        <v>1098</v>
      </c>
      <c r="I40" s="22" t="s">
        <v>1189</v>
      </c>
      <c r="J40" s="1" t="s">
        <v>3215</v>
      </c>
    </row>
    <row r="41" spans="1:10" x14ac:dyDescent="0.25">
      <c r="A41" s="1" t="s">
        <v>3989</v>
      </c>
      <c r="B41" s="1" t="s">
        <v>3348</v>
      </c>
      <c r="C41" s="2">
        <v>44608</v>
      </c>
      <c r="D41" s="6">
        <v>162.6</v>
      </c>
      <c r="E41" s="6">
        <v>195.12</v>
      </c>
      <c r="F41" s="1" t="s">
        <v>468</v>
      </c>
      <c r="G41" s="1" t="s">
        <v>3398</v>
      </c>
      <c r="H41" s="1" t="s">
        <v>1098</v>
      </c>
      <c r="I41" s="22" t="s">
        <v>1189</v>
      </c>
      <c r="J41" s="1" t="s">
        <v>3270</v>
      </c>
    </row>
    <row r="42" spans="1:10" x14ac:dyDescent="0.25">
      <c r="A42" s="1" t="s">
        <v>3990</v>
      </c>
      <c r="B42" s="1" t="s">
        <v>3350</v>
      </c>
      <c r="C42" s="2">
        <v>44608</v>
      </c>
      <c r="D42" s="6">
        <v>32.64</v>
      </c>
      <c r="E42" s="6">
        <v>32.64</v>
      </c>
      <c r="F42" s="1" t="s">
        <v>468</v>
      </c>
      <c r="G42" s="1" t="s">
        <v>3398</v>
      </c>
      <c r="H42" s="1" t="s">
        <v>1098</v>
      </c>
      <c r="I42" s="22" t="s">
        <v>1189</v>
      </c>
      <c r="J42" s="1" t="s">
        <v>3349</v>
      </c>
    </row>
    <row r="43" spans="1:10" x14ac:dyDescent="0.25">
      <c r="A43" s="1" t="s">
        <v>3991</v>
      </c>
      <c r="B43" s="1" t="s">
        <v>3351</v>
      </c>
      <c r="C43" s="2">
        <v>44608</v>
      </c>
      <c r="D43" s="6">
        <v>12311.67</v>
      </c>
      <c r="E43" s="6">
        <v>14774</v>
      </c>
      <c r="F43" s="1" t="s">
        <v>468</v>
      </c>
      <c r="G43" s="1" t="s">
        <v>3398</v>
      </c>
      <c r="H43" s="1" t="s">
        <v>1098</v>
      </c>
      <c r="I43" s="22" t="s">
        <v>1189</v>
      </c>
      <c r="J43" s="1" t="s">
        <v>3352</v>
      </c>
    </row>
    <row r="44" spans="1:10" x14ac:dyDescent="0.25">
      <c r="A44" s="1" t="s">
        <v>3992</v>
      </c>
      <c r="B44" s="1" t="s">
        <v>3353</v>
      </c>
      <c r="C44" s="2">
        <v>44608</v>
      </c>
      <c r="D44" s="6">
        <v>209.27</v>
      </c>
      <c r="E44" s="6">
        <v>251.13</v>
      </c>
      <c r="F44" s="1" t="s">
        <v>468</v>
      </c>
      <c r="G44" s="1" t="s">
        <v>3398</v>
      </c>
      <c r="H44" s="1" t="s">
        <v>1098</v>
      </c>
      <c r="I44" s="22" t="s">
        <v>1189</v>
      </c>
      <c r="J44" s="1" t="s">
        <v>3354</v>
      </c>
    </row>
    <row r="45" spans="1:10" x14ac:dyDescent="0.25">
      <c r="A45" s="1" t="s">
        <v>3993</v>
      </c>
      <c r="B45" s="1" t="s">
        <v>3362</v>
      </c>
      <c r="C45" s="2">
        <v>44606</v>
      </c>
      <c r="D45" s="6">
        <v>1203.45</v>
      </c>
      <c r="E45" s="6">
        <v>1444.14</v>
      </c>
      <c r="F45" s="1" t="s">
        <v>471</v>
      </c>
      <c r="G45" s="1" t="s">
        <v>3413</v>
      </c>
      <c r="H45" s="22" t="s">
        <v>1103</v>
      </c>
      <c r="I45" s="22" t="s">
        <v>3414</v>
      </c>
      <c r="J45" s="1" t="s">
        <v>3361</v>
      </c>
    </row>
    <row r="46" spans="1:10" x14ac:dyDescent="0.25">
      <c r="A46" s="1" t="s">
        <v>3994</v>
      </c>
      <c r="B46" s="1" t="s">
        <v>3363</v>
      </c>
      <c r="C46" s="2">
        <v>44617</v>
      </c>
      <c r="D46" s="6">
        <v>49.5</v>
      </c>
      <c r="E46" s="6">
        <v>49.5</v>
      </c>
      <c r="F46" s="1" t="s">
        <v>469</v>
      </c>
      <c r="G46" s="33" t="s">
        <v>3407</v>
      </c>
      <c r="H46" s="4" t="s">
        <v>1100</v>
      </c>
      <c r="I46" s="4" t="s">
        <v>1100</v>
      </c>
      <c r="J46" s="1" t="s">
        <v>1940</v>
      </c>
    </row>
    <row r="47" spans="1:10" x14ac:dyDescent="0.25">
      <c r="A47" s="1" t="s">
        <v>3995</v>
      </c>
      <c r="B47" s="1" t="s">
        <v>3364</v>
      </c>
      <c r="C47" s="2">
        <v>44617</v>
      </c>
      <c r="D47" s="6">
        <v>51</v>
      </c>
      <c r="E47" s="6">
        <v>51</v>
      </c>
      <c r="F47" s="1" t="s">
        <v>469</v>
      </c>
      <c r="G47" s="33" t="s">
        <v>3407</v>
      </c>
      <c r="H47" s="4" t="s">
        <v>1100</v>
      </c>
      <c r="I47" s="4" t="s">
        <v>1100</v>
      </c>
      <c r="J47" s="1" t="s">
        <v>1940</v>
      </c>
    </row>
    <row r="48" spans="1:10" x14ac:dyDescent="0.25">
      <c r="A48" s="1" t="s">
        <v>3996</v>
      </c>
      <c r="B48" s="1" t="s">
        <v>3365</v>
      </c>
      <c r="C48" s="2">
        <v>44617</v>
      </c>
      <c r="D48" s="6">
        <v>381</v>
      </c>
      <c r="E48" s="6">
        <v>381</v>
      </c>
      <c r="F48" s="1" t="s">
        <v>469</v>
      </c>
      <c r="G48" s="32" t="s">
        <v>3407</v>
      </c>
      <c r="H48" s="4" t="s">
        <v>1100</v>
      </c>
      <c r="I48" s="4" t="s">
        <v>1100</v>
      </c>
      <c r="J48" s="1" t="s">
        <v>1940</v>
      </c>
    </row>
    <row r="49" spans="1:10" x14ac:dyDescent="0.25">
      <c r="A49" s="1" t="s">
        <v>3997</v>
      </c>
      <c r="B49" s="1" t="s">
        <v>3366</v>
      </c>
      <c r="C49" s="2">
        <v>44610</v>
      </c>
      <c r="D49" s="6">
        <v>15.27</v>
      </c>
      <c r="E49" s="6">
        <v>18.32</v>
      </c>
      <c r="F49" s="1" t="s">
        <v>466</v>
      </c>
      <c r="G49" s="1" t="s">
        <v>3406</v>
      </c>
      <c r="H49" s="1" t="s">
        <v>1105</v>
      </c>
      <c r="I49" s="22" t="s">
        <v>3405</v>
      </c>
      <c r="J49" s="1" t="s">
        <v>3367</v>
      </c>
    </row>
    <row r="50" spans="1:10" x14ac:dyDescent="0.25">
      <c r="A50" s="1" t="s">
        <v>3998</v>
      </c>
      <c r="B50" s="1" t="s">
        <v>3368</v>
      </c>
      <c r="C50" s="2">
        <v>44622</v>
      </c>
      <c r="D50" s="6">
        <v>1973.69</v>
      </c>
      <c r="E50" s="6">
        <v>2368.4299999999998</v>
      </c>
      <c r="F50" s="1" t="s">
        <v>470</v>
      </c>
      <c r="G50" s="1" t="s">
        <v>3399</v>
      </c>
      <c r="H50" s="1" t="s">
        <v>1101</v>
      </c>
      <c r="I50" s="22" t="s">
        <v>3400</v>
      </c>
      <c r="J50" s="1" t="s">
        <v>3369</v>
      </c>
    </row>
    <row r="51" spans="1:10" x14ac:dyDescent="0.25">
      <c r="A51" s="1" t="s">
        <v>3999</v>
      </c>
      <c r="B51" s="1" t="s">
        <v>3370</v>
      </c>
      <c r="C51" s="2">
        <v>44622</v>
      </c>
      <c r="D51" s="6">
        <v>90.9</v>
      </c>
      <c r="E51" s="6">
        <v>109.08</v>
      </c>
      <c r="F51" s="1" t="s">
        <v>470</v>
      </c>
      <c r="G51" s="1" t="s">
        <v>3399</v>
      </c>
      <c r="H51" s="1" t="s">
        <v>1101</v>
      </c>
      <c r="I51" s="22" t="s">
        <v>3393</v>
      </c>
      <c r="J51" s="1" t="s">
        <v>982</v>
      </c>
    </row>
    <row r="52" spans="1:10" x14ac:dyDescent="0.25">
      <c r="A52" s="1" t="s">
        <v>4000</v>
      </c>
      <c r="B52" s="1" t="s">
        <v>3371</v>
      </c>
      <c r="C52" s="2">
        <v>44622</v>
      </c>
      <c r="D52" s="6">
        <v>15.27</v>
      </c>
      <c r="E52" s="6">
        <v>18.32</v>
      </c>
      <c r="F52" s="1" t="s">
        <v>466</v>
      </c>
      <c r="G52" s="1" t="s">
        <v>3406</v>
      </c>
      <c r="H52" s="1" t="s">
        <v>1105</v>
      </c>
      <c r="I52" s="22" t="s">
        <v>3405</v>
      </c>
      <c r="J52" s="1" t="s">
        <v>3367</v>
      </c>
    </row>
    <row r="53" spans="1:10" x14ac:dyDescent="0.25">
      <c r="A53" s="1" t="s">
        <v>4001</v>
      </c>
      <c r="B53" s="1" t="s">
        <v>3372</v>
      </c>
      <c r="C53" s="2">
        <v>44622</v>
      </c>
      <c r="D53" s="6">
        <v>48</v>
      </c>
      <c r="E53" s="6">
        <v>57.6</v>
      </c>
      <c r="F53" s="1" t="s">
        <v>472</v>
      </c>
      <c r="G53" s="1" t="s">
        <v>3415</v>
      </c>
      <c r="H53" s="1" t="s">
        <v>1151</v>
      </c>
      <c r="I53" s="22" t="s">
        <v>3373</v>
      </c>
      <c r="J53" s="1" t="s">
        <v>3374</v>
      </c>
    </row>
    <row r="54" spans="1:10" x14ac:dyDescent="0.25">
      <c r="A54" s="1" t="s">
        <v>4002</v>
      </c>
      <c r="B54" s="1" t="s">
        <v>3376</v>
      </c>
      <c r="C54" s="2">
        <v>44622</v>
      </c>
      <c r="D54" s="12">
        <v>18990</v>
      </c>
      <c r="E54" s="12">
        <v>22788</v>
      </c>
      <c r="F54" s="1" t="s">
        <v>468</v>
      </c>
      <c r="G54" s="1" t="s">
        <v>3398</v>
      </c>
      <c r="H54" s="1" t="s">
        <v>1098</v>
      </c>
      <c r="I54" s="22" t="s">
        <v>1189</v>
      </c>
      <c r="J54" s="1" t="s">
        <v>3375</v>
      </c>
    </row>
    <row r="55" spans="1:10" x14ac:dyDescent="0.25">
      <c r="A55" s="1" t="s">
        <v>4003</v>
      </c>
      <c r="B55" s="1" t="s">
        <v>3377</v>
      </c>
      <c r="C55" s="2">
        <v>44622</v>
      </c>
      <c r="D55" s="6">
        <v>500</v>
      </c>
      <c r="E55" s="6">
        <v>600</v>
      </c>
      <c r="F55" s="1" t="s">
        <v>468</v>
      </c>
      <c r="G55" s="1" t="s">
        <v>3398</v>
      </c>
      <c r="H55" s="1" t="s">
        <v>1098</v>
      </c>
      <c r="I55" s="22" t="s">
        <v>1189</v>
      </c>
      <c r="J55" s="1" t="s">
        <v>3378</v>
      </c>
    </row>
    <row r="56" spans="1:10" x14ac:dyDescent="0.25">
      <c r="A56" s="1" t="s">
        <v>4004</v>
      </c>
      <c r="B56" s="1" t="s">
        <v>3379</v>
      </c>
      <c r="C56" s="2">
        <v>44622</v>
      </c>
      <c r="D56" s="6">
        <v>841.08</v>
      </c>
      <c r="E56" s="6">
        <v>1009.3</v>
      </c>
      <c r="F56" s="1" t="s">
        <v>466</v>
      </c>
      <c r="G56" s="1" t="s">
        <v>3406</v>
      </c>
      <c r="H56" s="1" t="s">
        <v>1105</v>
      </c>
      <c r="I56" s="22" t="s">
        <v>3405</v>
      </c>
      <c r="J56" s="1" t="s">
        <v>3380</v>
      </c>
    </row>
    <row r="57" spans="1:10" x14ac:dyDescent="0.25">
      <c r="A57" s="1" t="s">
        <v>4005</v>
      </c>
      <c r="B57" s="1" t="s">
        <v>3382</v>
      </c>
      <c r="C57" s="2">
        <v>44622</v>
      </c>
      <c r="D57" s="31">
        <f>-193.5</f>
        <v>-193.5</v>
      </c>
      <c r="E57" s="31">
        <v>-232.2</v>
      </c>
      <c r="F57" s="1" t="s">
        <v>468</v>
      </c>
      <c r="G57" s="1" t="s">
        <v>3398</v>
      </c>
      <c r="H57" s="1" t="s">
        <v>1098</v>
      </c>
      <c r="I57" s="22" t="s">
        <v>1189</v>
      </c>
      <c r="J57" s="1" t="s">
        <v>3381</v>
      </c>
    </row>
    <row r="58" spans="1:10" x14ac:dyDescent="0.25">
      <c r="A58" s="1" t="s">
        <v>4006</v>
      </c>
      <c r="B58" s="1" t="s">
        <v>3384</v>
      </c>
      <c r="C58" s="2">
        <v>44622</v>
      </c>
      <c r="D58" s="6">
        <v>1270</v>
      </c>
      <c r="E58" s="6">
        <v>1524</v>
      </c>
      <c r="F58" s="1" t="s">
        <v>468</v>
      </c>
      <c r="G58" s="1" t="s">
        <v>3398</v>
      </c>
      <c r="H58" s="1" t="s">
        <v>1098</v>
      </c>
      <c r="I58" s="22" t="s">
        <v>1189</v>
      </c>
      <c r="J58" s="1" t="s">
        <v>3386</v>
      </c>
    </row>
    <row r="59" spans="1:10" x14ac:dyDescent="0.25">
      <c r="A59" s="1" t="s">
        <v>4007</v>
      </c>
      <c r="B59" s="1" t="s">
        <v>3383</v>
      </c>
      <c r="C59" s="2">
        <v>44622</v>
      </c>
      <c r="D59" s="6">
        <v>4681.07</v>
      </c>
      <c r="E59" s="6">
        <v>5617.28</v>
      </c>
      <c r="F59" s="1" t="s">
        <v>468</v>
      </c>
      <c r="G59" s="1" t="s">
        <v>3398</v>
      </c>
      <c r="H59" s="1" t="s">
        <v>1098</v>
      </c>
      <c r="I59" s="22" t="s">
        <v>1189</v>
      </c>
      <c r="J59" s="1" t="s">
        <v>3387</v>
      </c>
    </row>
    <row r="60" spans="1:10" x14ac:dyDescent="0.25">
      <c r="A60" s="1" t="s">
        <v>4008</v>
      </c>
      <c r="B60" s="1" t="s">
        <v>3385</v>
      </c>
      <c r="C60" s="2">
        <v>44622</v>
      </c>
      <c r="D60" s="12">
        <v>11.01</v>
      </c>
      <c r="E60" s="12">
        <v>13.21</v>
      </c>
      <c r="F60" s="1" t="s">
        <v>468</v>
      </c>
      <c r="G60" s="1" t="s">
        <v>3398</v>
      </c>
      <c r="H60" s="1" t="s">
        <v>1098</v>
      </c>
      <c r="I60" s="22" t="s">
        <v>1189</v>
      </c>
      <c r="J60" s="1" t="s">
        <v>3388</v>
      </c>
    </row>
    <row r="61" spans="1:10" x14ac:dyDescent="0.25">
      <c r="A61" s="1" t="s">
        <v>4009</v>
      </c>
      <c r="B61" s="1" t="s">
        <v>3355</v>
      </c>
      <c r="C61" s="2">
        <v>44622</v>
      </c>
      <c r="D61" s="6">
        <v>3607.5</v>
      </c>
      <c r="E61" s="6">
        <v>4329</v>
      </c>
      <c r="F61" s="1" t="s">
        <v>468</v>
      </c>
      <c r="G61" s="1" t="s">
        <v>3398</v>
      </c>
      <c r="H61" s="1" t="s">
        <v>1098</v>
      </c>
      <c r="I61" s="22" t="s">
        <v>1189</v>
      </c>
      <c r="J61" s="1" t="s">
        <v>3389</v>
      </c>
    </row>
    <row r="62" spans="1:10" x14ac:dyDescent="0.25">
      <c r="A62" s="1" t="s">
        <v>4010</v>
      </c>
      <c r="B62" s="1" t="s">
        <v>3416</v>
      </c>
      <c r="C62" s="2">
        <v>44629</v>
      </c>
      <c r="D62" s="6">
        <v>19.5</v>
      </c>
      <c r="E62" s="6">
        <v>19.5</v>
      </c>
      <c r="F62" s="1" t="s">
        <v>469</v>
      </c>
      <c r="G62" s="33" t="s">
        <v>3407</v>
      </c>
      <c r="H62" s="4" t="s">
        <v>1100</v>
      </c>
      <c r="I62" s="4" t="s">
        <v>1100</v>
      </c>
      <c r="J62" s="1" t="s">
        <v>1940</v>
      </c>
    </row>
    <row r="63" spans="1:10" x14ac:dyDescent="0.25">
      <c r="A63" s="1" t="s">
        <v>4011</v>
      </c>
      <c r="B63" s="1" t="s">
        <v>3417</v>
      </c>
      <c r="C63" s="2">
        <v>44629</v>
      </c>
      <c r="D63" s="6">
        <v>48.5</v>
      </c>
      <c r="E63" s="6">
        <v>48.5</v>
      </c>
      <c r="F63" s="1" t="s">
        <v>469</v>
      </c>
      <c r="G63" s="33" t="s">
        <v>3407</v>
      </c>
      <c r="H63" s="4" t="s">
        <v>1100</v>
      </c>
      <c r="I63" s="4" t="s">
        <v>1100</v>
      </c>
      <c r="J63" s="1" t="s">
        <v>1940</v>
      </c>
    </row>
    <row r="64" spans="1:10" x14ac:dyDescent="0.25">
      <c r="A64" s="1" t="s">
        <v>4012</v>
      </c>
      <c r="B64" s="1" t="s">
        <v>3418</v>
      </c>
      <c r="C64" s="2">
        <v>44629</v>
      </c>
      <c r="D64" s="6">
        <v>16.5</v>
      </c>
      <c r="E64" s="6">
        <v>16.5</v>
      </c>
      <c r="F64" s="1" t="s">
        <v>469</v>
      </c>
      <c r="G64" s="33" t="s">
        <v>3407</v>
      </c>
      <c r="H64" s="4" t="s">
        <v>1100</v>
      </c>
      <c r="I64" s="4" t="s">
        <v>1100</v>
      </c>
      <c r="J64" s="1" t="s">
        <v>1940</v>
      </c>
    </row>
    <row r="65" spans="1:10" x14ac:dyDescent="0.25">
      <c r="A65" s="1" t="s">
        <v>4013</v>
      </c>
      <c r="B65" s="1" t="s">
        <v>3419</v>
      </c>
      <c r="C65" s="2">
        <v>44629</v>
      </c>
      <c r="D65" s="6">
        <v>16.5</v>
      </c>
      <c r="E65" s="6">
        <v>16.5</v>
      </c>
      <c r="F65" s="1" t="s">
        <v>469</v>
      </c>
      <c r="G65" s="33" t="s">
        <v>3407</v>
      </c>
      <c r="H65" s="4" t="s">
        <v>1100</v>
      </c>
      <c r="I65" s="4" t="s">
        <v>1100</v>
      </c>
      <c r="J65" s="1" t="s">
        <v>1940</v>
      </c>
    </row>
    <row r="66" spans="1:10" x14ac:dyDescent="0.25">
      <c r="A66" s="1" t="s">
        <v>4014</v>
      </c>
      <c r="B66" s="1" t="s">
        <v>3420</v>
      </c>
      <c r="C66" s="2">
        <v>44629</v>
      </c>
      <c r="D66" s="6">
        <v>16.5</v>
      </c>
      <c r="E66" s="6">
        <v>16.5</v>
      </c>
      <c r="F66" s="1" t="s">
        <v>469</v>
      </c>
      <c r="G66" s="33" t="s">
        <v>3407</v>
      </c>
      <c r="H66" s="4" t="s">
        <v>1100</v>
      </c>
      <c r="I66" s="4" t="s">
        <v>1100</v>
      </c>
      <c r="J66" s="1" t="s">
        <v>1940</v>
      </c>
    </row>
    <row r="67" spans="1:10" x14ac:dyDescent="0.25">
      <c r="A67" s="1" t="s">
        <v>4015</v>
      </c>
      <c r="B67" s="1" t="s">
        <v>3421</v>
      </c>
      <c r="C67" s="2">
        <v>44629</v>
      </c>
      <c r="D67" s="6">
        <v>16.5</v>
      </c>
      <c r="E67" s="6">
        <v>16.5</v>
      </c>
      <c r="F67" s="1" t="s">
        <v>469</v>
      </c>
      <c r="G67" s="33" t="s">
        <v>3407</v>
      </c>
      <c r="H67" s="4" t="s">
        <v>1100</v>
      </c>
      <c r="I67" s="4" t="s">
        <v>1100</v>
      </c>
      <c r="J67" s="1" t="s">
        <v>1940</v>
      </c>
    </row>
    <row r="68" spans="1:10" x14ac:dyDescent="0.25">
      <c r="A68" s="1" t="s">
        <v>4016</v>
      </c>
      <c r="B68" s="1" t="s">
        <v>3422</v>
      </c>
      <c r="C68" s="2">
        <v>44629</v>
      </c>
      <c r="D68" s="6">
        <v>16.5</v>
      </c>
      <c r="E68" s="6">
        <v>16.5</v>
      </c>
      <c r="F68" s="1" t="s">
        <v>469</v>
      </c>
      <c r="G68" s="33" t="s">
        <v>3407</v>
      </c>
      <c r="H68" s="4" t="s">
        <v>1100</v>
      </c>
      <c r="I68" s="4" t="s">
        <v>1100</v>
      </c>
      <c r="J68" s="1" t="s">
        <v>1940</v>
      </c>
    </row>
    <row r="69" spans="1:10" x14ac:dyDescent="0.25">
      <c r="A69" s="1" t="s">
        <v>4017</v>
      </c>
      <c r="B69" s="1" t="s">
        <v>3423</v>
      </c>
      <c r="C69" s="2">
        <v>44629</v>
      </c>
      <c r="D69" s="6">
        <v>16.5</v>
      </c>
      <c r="E69" s="6">
        <v>16.5</v>
      </c>
      <c r="F69" s="1" t="s">
        <v>469</v>
      </c>
      <c r="G69" s="33" t="s">
        <v>3407</v>
      </c>
      <c r="H69" s="4" t="s">
        <v>1100</v>
      </c>
      <c r="I69" s="4" t="s">
        <v>1100</v>
      </c>
      <c r="J69" s="1" t="s">
        <v>1940</v>
      </c>
    </row>
    <row r="70" spans="1:10" x14ac:dyDescent="0.25">
      <c r="A70" s="1" t="s">
        <v>4018</v>
      </c>
      <c r="B70" s="1" t="s">
        <v>3424</v>
      </c>
      <c r="C70" s="2">
        <v>44629</v>
      </c>
      <c r="D70" s="6">
        <v>16.5</v>
      </c>
      <c r="E70" s="6">
        <v>16.5</v>
      </c>
      <c r="F70" s="1" t="s">
        <v>469</v>
      </c>
      <c r="G70" s="33" t="s">
        <v>3407</v>
      </c>
      <c r="H70" s="4" t="s">
        <v>1100</v>
      </c>
      <c r="I70" s="4" t="s">
        <v>1100</v>
      </c>
      <c r="J70" s="1" t="s">
        <v>1940</v>
      </c>
    </row>
    <row r="71" spans="1:10" x14ac:dyDescent="0.25">
      <c r="A71" s="1" t="s">
        <v>4019</v>
      </c>
      <c r="B71" s="1" t="s">
        <v>3425</v>
      </c>
      <c r="C71" s="2">
        <v>44629</v>
      </c>
      <c r="D71" s="6">
        <v>16.5</v>
      </c>
      <c r="E71" s="6">
        <v>16.5</v>
      </c>
      <c r="F71" s="1" t="s">
        <v>469</v>
      </c>
      <c r="G71" s="33" t="s">
        <v>3407</v>
      </c>
      <c r="H71" s="4" t="s">
        <v>1100</v>
      </c>
      <c r="I71" s="4" t="s">
        <v>1100</v>
      </c>
      <c r="J71" s="1" t="s">
        <v>1940</v>
      </c>
    </row>
    <row r="72" spans="1:10" x14ac:dyDescent="0.25">
      <c r="A72" s="1" t="s">
        <v>4020</v>
      </c>
      <c r="B72" s="1" t="s">
        <v>3426</v>
      </c>
      <c r="C72" s="2">
        <v>44629</v>
      </c>
      <c r="D72" s="6">
        <v>16.5</v>
      </c>
      <c r="E72" s="6">
        <v>16.5</v>
      </c>
      <c r="F72" s="1" t="s">
        <v>469</v>
      </c>
      <c r="G72" s="33" t="s">
        <v>3407</v>
      </c>
      <c r="H72" s="4" t="s">
        <v>1100</v>
      </c>
      <c r="I72" s="4" t="s">
        <v>1100</v>
      </c>
      <c r="J72" s="1" t="s">
        <v>1940</v>
      </c>
    </row>
    <row r="73" spans="1:10" x14ac:dyDescent="0.25">
      <c r="A73" s="1" t="s">
        <v>4021</v>
      </c>
      <c r="B73" s="1" t="s">
        <v>3427</v>
      </c>
      <c r="C73" s="2">
        <v>44629</v>
      </c>
      <c r="D73" s="6">
        <v>16.5</v>
      </c>
      <c r="E73" s="6">
        <v>16.5</v>
      </c>
      <c r="F73" s="1" t="s">
        <v>469</v>
      </c>
      <c r="G73" s="33" t="s">
        <v>3407</v>
      </c>
      <c r="H73" s="4" t="s">
        <v>1100</v>
      </c>
      <c r="I73" s="4" t="s">
        <v>1100</v>
      </c>
      <c r="J73" s="1" t="s">
        <v>1940</v>
      </c>
    </row>
    <row r="74" spans="1:10" x14ac:dyDescent="0.25">
      <c r="A74" s="1" t="s">
        <v>4022</v>
      </c>
      <c r="B74" s="1" t="s">
        <v>3428</v>
      </c>
      <c r="C74" s="2">
        <v>44629</v>
      </c>
      <c r="D74" s="6">
        <v>16.5</v>
      </c>
      <c r="E74" s="6">
        <v>19.8</v>
      </c>
      <c r="F74" s="1" t="s">
        <v>3451</v>
      </c>
      <c r="G74" s="1" t="s">
        <v>3429</v>
      </c>
      <c r="H74" s="1" t="s">
        <v>1124</v>
      </c>
      <c r="I74" s="22" t="s">
        <v>3430</v>
      </c>
      <c r="J74" s="1" t="s">
        <v>3431</v>
      </c>
    </row>
    <row r="75" spans="1:10" x14ac:dyDescent="0.25">
      <c r="A75" s="1" t="s">
        <v>4023</v>
      </c>
      <c r="B75" s="1" t="s">
        <v>3362</v>
      </c>
      <c r="C75" s="2">
        <v>44629</v>
      </c>
      <c r="D75" s="6">
        <v>16.5</v>
      </c>
      <c r="E75" s="6">
        <v>19.8</v>
      </c>
      <c r="F75" s="1" t="s">
        <v>3451</v>
      </c>
      <c r="G75" s="1" t="s">
        <v>3429</v>
      </c>
      <c r="H75" s="1" t="s">
        <v>1124</v>
      </c>
      <c r="I75" s="22" t="s">
        <v>3430</v>
      </c>
      <c r="J75" s="1" t="s">
        <v>3431</v>
      </c>
    </row>
    <row r="76" spans="1:10" x14ac:dyDescent="0.25">
      <c r="A76" s="1" t="s">
        <v>4024</v>
      </c>
      <c r="B76" s="1" t="s">
        <v>3432</v>
      </c>
      <c r="C76" s="2">
        <v>44629</v>
      </c>
      <c r="D76" s="6">
        <v>16.5</v>
      </c>
      <c r="E76" s="6">
        <v>19.8</v>
      </c>
      <c r="F76" s="1" t="s">
        <v>3451</v>
      </c>
      <c r="G76" s="1" t="s">
        <v>3429</v>
      </c>
      <c r="H76" s="1" t="s">
        <v>1124</v>
      </c>
      <c r="I76" s="22" t="s">
        <v>3430</v>
      </c>
      <c r="J76" s="1" t="s">
        <v>3431</v>
      </c>
    </row>
    <row r="77" spans="1:10" x14ac:dyDescent="0.25">
      <c r="A77" s="1" t="s">
        <v>4025</v>
      </c>
      <c r="B77" s="1" t="s">
        <v>3433</v>
      </c>
      <c r="C77" s="2">
        <v>44629</v>
      </c>
      <c r="D77" s="6">
        <v>16.5</v>
      </c>
      <c r="E77" s="6">
        <v>19.8</v>
      </c>
      <c r="F77" s="1" t="s">
        <v>3451</v>
      </c>
      <c r="G77" s="1" t="s">
        <v>3429</v>
      </c>
      <c r="H77" s="1" t="s">
        <v>1124</v>
      </c>
      <c r="I77" s="22" t="s">
        <v>3430</v>
      </c>
      <c r="J77" s="1" t="s">
        <v>3431</v>
      </c>
    </row>
    <row r="78" spans="1:10" x14ac:dyDescent="0.25">
      <c r="A78" s="1" t="s">
        <v>4026</v>
      </c>
      <c r="B78" s="1" t="s">
        <v>3434</v>
      </c>
      <c r="C78" s="2">
        <v>44629</v>
      </c>
      <c r="D78" s="6">
        <v>16.5</v>
      </c>
      <c r="E78" s="6">
        <v>19.8</v>
      </c>
      <c r="F78" s="1" t="s">
        <v>3451</v>
      </c>
      <c r="G78" s="1" t="s">
        <v>3429</v>
      </c>
      <c r="H78" s="1" t="s">
        <v>1124</v>
      </c>
      <c r="I78" s="22" t="s">
        <v>3430</v>
      </c>
      <c r="J78" s="1" t="s">
        <v>3431</v>
      </c>
    </row>
    <row r="79" spans="1:10" x14ac:dyDescent="0.25">
      <c r="A79" s="1" t="s">
        <v>4027</v>
      </c>
      <c r="B79" s="1" t="s">
        <v>3435</v>
      </c>
      <c r="C79" s="2">
        <v>44629</v>
      </c>
      <c r="D79" s="6">
        <v>16.5</v>
      </c>
      <c r="E79" s="6">
        <v>19.8</v>
      </c>
      <c r="F79" s="1" t="s">
        <v>3451</v>
      </c>
      <c r="G79" s="1" t="s">
        <v>3429</v>
      </c>
      <c r="H79" s="1" t="s">
        <v>1124</v>
      </c>
      <c r="I79" s="22" t="s">
        <v>3430</v>
      </c>
      <c r="J79" s="1" t="s">
        <v>3431</v>
      </c>
    </row>
    <row r="80" spans="1:10" x14ac:dyDescent="0.25">
      <c r="A80" s="1" t="s">
        <v>4028</v>
      </c>
      <c r="B80" s="1" t="s">
        <v>3436</v>
      </c>
      <c r="C80" s="2">
        <v>44629</v>
      </c>
      <c r="D80" s="6">
        <v>16.5</v>
      </c>
      <c r="E80" s="6">
        <v>19.8</v>
      </c>
      <c r="F80" s="1" t="s">
        <v>3451</v>
      </c>
      <c r="G80" s="1" t="s">
        <v>3429</v>
      </c>
      <c r="H80" s="1" t="s">
        <v>1124</v>
      </c>
      <c r="I80" s="22" t="s">
        <v>3430</v>
      </c>
      <c r="J80" s="1" t="s">
        <v>3431</v>
      </c>
    </row>
    <row r="81" spans="1:10" x14ac:dyDescent="0.25">
      <c r="A81" s="1" t="s">
        <v>4029</v>
      </c>
      <c r="B81" s="1" t="s">
        <v>3437</v>
      </c>
      <c r="C81" s="2">
        <v>44629</v>
      </c>
      <c r="D81" s="6">
        <v>16.5</v>
      </c>
      <c r="E81" s="6">
        <v>19.8</v>
      </c>
      <c r="F81" s="1" t="s">
        <v>3451</v>
      </c>
      <c r="G81" s="1" t="s">
        <v>3429</v>
      </c>
      <c r="H81" s="1" t="s">
        <v>1124</v>
      </c>
      <c r="I81" s="22" t="s">
        <v>3430</v>
      </c>
      <c r="J81" s="1" t="s">
        <v>3431</v>
      </c>
    </row>
    <row r="82" spans="1:10" x14ac:dyDescent="0.25">
      <c r="A82" s="1" t="s">
        <v>4030</v>
      </c>
      <c r="B82" s="1" t="s">
        <v>3438</v>
      </c>
      <c r="C82" s="2">
        <v>44629</v>
      </c>
      <c r="D82" s="6">
        <v>16.5</v>
      </c>
      <c r="E82" s="6">
        <v>19.8</v>
      </c>
      <c r="F82" s="1" t="s">
        <v>3451</v>
      </c>
      <c r="G82" s="1" t="s">
        <v>3429</v>
      </c>
      <c r="H82" s="1" t="s">
        <v>1124</v>
      </c>
      <c r="I82" s="22" t="s">
        <v>3430</v>
      </c>
      <c r="J82" s="1" t="s">
        <v>3431</v>
      </c>
    </row>
    <row r="83" spans="1:10" x14ac:dyDescent="0.25">
      <c r="A83" s="1" t="s">
        <v>4031</v>
      </c>
      <c r="B83" s="1" t="s">
        <v>3439</v>
      </c>
      <c r="C83" s="2">
        <v>44629</v>
      </c>
      <c r="D83" s="6">
        <v>16.5</v>
      </c>
      <c r="E83" s="6">
        <v>19.8</v>
      </c>
      <c r="F83" s="1" t="s">
        <v>3451</v>
      </c>
      <c r="G83" s="1" t="s">
        <v>3429</v>
      </c>
      <c r="H83" s="1" t="s">
        <v>1124</v>
      </c>
      <c r="I83" s="22" t="s">
        <v>3430</v>
      </c>
      <c r="J83" s="1" t="s">
        <v>3431</v>
      </c>
    </row>
    <row r="84" spans="1:10" x14ac:dyDescent="0.25">
      <c r="A84" s="1" t="s">
        <v>4032</v>
      </c>
      <c r="B84" s="1" t="s">
        <v>3440</v>
      </c>
      <c r="C84" s="2">
        <v>44629</v>
      </c>
      <c r="D84" s="6">
        <v>1568</v>
      </c>
      <c r="E84" s="6">
        <v>1881.6</v>
      </c>
      <c r="F84" s="1" t="s">
        <v>2597</v>
      </c>
      <c r="G84" s="1" t="s">
        <v>3401</v>
      </c>
      <c r="H84" s="1" t="s">
        <v>2598</v>
      </c>
      <c r="I84" s="1" t="s">
        <v>3402</v>
      </c>
      <c r="J84" s="1" t="s">
        <v>3299</v>
      </c>
    </row>
    <row r="85" spans="1:10" x14ac:dyDescent="0.25">
      <c r="A85" s="1" t="s">
        <v>4033</v>
      </c>
      <c r="B85" s="1"/>
      <c r="C85" s="2">
        <v>44629</v>
      </c>
      <c r="D85" s="12"/>
      <c r="E85" s="12"/>
      <c r="F85" s="1" t="s">
        <v>3441</v>
      </c>
      <c r="G85" s="1"/>
      <c r="H85" s="1"/>
      <c r="I85" s="22"/>
      <c r="J85" s="1"/>
    </row>
    <row r="86" spans="1:10" x14ac:dyDescent="0.25">
      <c r="A86" s="1" t="s">
        <v>4034</v>
      </c>
      <c r="B86" s="1" t="s">
        <v>3442</v>
      </c>
      <c r="C86" s="2">
        <v>44629</v>
      </c>
      <c r="D86" s="6">
        <v>165.96</v>
      </c>
      <c r="E86" s="6">
        <v>199.15</v>
      </c>
      <c r="F86" s="1" t="s">
        <v>466</v>
      </c>
      <c r="G86" s="1" t="s">
        <v>3406</v>
      </c>
      <c r="H86" s="1" t="s">
        <v>1105</v>
      </c>
      <c r="I86" s="22" t="s">
        <v>3405</v>
      </c>
      <c r="J86" s="1" t="s">
        <v>3443</v>
      </c>
    </row>
    <row r="87" spans="1:10" x14ac:dyDescent="0.25">
      <c r="A87" s="1" t="s">
        <v>4035</v>
      </c>
      <c r="B87" s="1" t="s">
        <v>3444</v>
      </c>
      <c r="C87" s="2">
        <v>44629</v>
      </c>
      <c r="D87" s="9">
        <v>-14.59</v>
      </c>
      <c r="E87" s="9">
        <v>-17.510000000000002</v>
      </c>
      <c r="F87" s="1" t="s">
        <v>504</v>
      </c>
      <c r="G87" s="1" t="s">
        <v>3409</v>
      </c>
      <c r="H87" s="22" t="s">
        <v>1107</v>
      </c>
      <c r="I87" s="22" t="s">
        <v>3410</v>
      </c>
      <c r="J87" s="1" t="s">
        <v>2414</v>
      </c>
    </row>
    <row r="88" spans="1:10" x14ac:dyDescent="0.25">
      <c r="A88" s="1" t="s">
        <v>4036</v>
      </c>
      <c r="B88" s="1" t="s">
        <v>3445</v>
      </c>
      <c r="C88" s="2">
        <v>44629</v>
      </c>
      <c r="D88" s="6">
        <v>264</v>
      </c>
      <c r="E88" s="6">
        <v>316.8</v>
      </c>
      <c r="F88" s="1" t="s">
        <v>488</v>
      </c>
      <c r="G88" s="1" t="s">
        <v>3446</v>
      </c>
      <c r="H88" s="1" t="s">
        <v>1137</v>
      </c>
      <c r="I88" s="22" t="s">
        <v>3447</v>
      </c>
      <c r="J88" s="1" t="s">
        <v>3448</v>
      </c>
    </row>
    <row r="89" spans="1:10" x14ac:dyDescent="0.25">
      <c r="A89" s="1" t="s">
        <v>4037</v>
      </c>
      <c r="B89" s="1" t="s">
        <v>3449</v>
      </c>
      <c r="C89" s="2">
        <v>44621</v>
      </c>
      <c r="D89" s="6">
        <v>30</v>
      </c>
      <c r="E89" s="6">
        <v>36</v>
      </c>
      <c r="F89" s="1" t="s">
        <v>3450</v>
      </c>
      <c r="G89" s="1" t="s">
        <v>3452</v>
      </c>
      <c r="H89" s="1" t="s">
        <v>1701</v>
      </c>
      <c r="I89" s="4" t="s">
        <v>1100</v>
      </c>
      <c r="J89" s="1" t="s">
        <v>3453</v>
      </c>
    </row>
    <row r="90" spans="1:10" x14ac:dyDescent="0.25">
      <c r="A90" s="1" t="s">
        <v>4038</v>
      </c>
      <c r="B90" s="1" t="s">
        <v>3454</v>
      </c>
      <c r="C90" s="2">
        <v>44635</v>
      </c>
      <c r="D90" s="6">
        <v>227.72</v>
      </c>
      <c r="E90" s="6">
        <v>273.26</v>
      </c>
      <c r="F90" s="1" t="s">
        <v>468</v>
      </c>
      <c r="G90" s="1" t="s">
        <v>3398</v>
      </c>
      <c r="H90" s="1" t="s">
        <v>1098</v>
      </c>
      <c r="I90" s="22" t="s">
        <v>1189</v>
      </c>
      <c r="J90" s="1" t="s">
        <v>3215</v>
      </c>
    </row>
    <row r="91" spans="1:10" x14ac:dyDescent="0.25">
      <c r="A91" s="1" t="s">
        <v>4039</v>
      </c>
      <c r="B91" s="1" t="s">
        <v>3455</v>
      </c>
      <c r="C91" s="2">
        <v>44635</v>
      </c>
      <c r="D91" s="6">
        <v>1812.88</v>
      </c>
      <c r="E91" s="6">
        <v>2175.46</v>
      </c>
      <c r="F91" s="1" t="s">
        <v>468</v>
      </c>
      <c r="G91" s="1" t="s">
        <v>3398</v>
      </c>
      <c r="H91" s="1" t="s">
        <v>1098</v>
      </c>
      <c r="I91" s="22" t="s">
        <v>1189</v>
      </c>
      <c r="J91" s="1" t="s">
        <v>3456</v>
      </c>
    </row>
    <row r="92" spans="1:10" x14ac:dyDescent="0.25">
      <c r="A92" s="1" t="s">
        <v>4040</v>
      </c>
      <c r="B92" s="1" t="s">
        <v>3457</v>
      </c>
      <c r="C92" s="2">
        <v>44635</v>
      </c>
      <c r="D92" s="6">
        <v>148.26</v>
      </c>
      <c r="E92" s="6">
        <v>177.91</v>
      </c>
      <c r="F92" s="1" t="s">
        <v>468</v>
      </c>
      <c r="G92" s="1" t="s">
        <v>3398</v>
      </c>
      <c r="H92" s="1" t="s">
        <v>1098</v>
      </c>
      <c r="I92" s="22" t="s">
        <v>1189</v>
      </c>
      <c r="J92" s="1" t="s">
        <v>3458</v>
      </c>
    </row>
    <row r="93" spans="1:10" x14ac:dyDescent="0.25">
      <c r="A93" s="1" t="s">
        <v>4041</v>
      </c>
      <c r="B93" s="1" t="s">
        <v>3459</v>
      </c>
      <c r="C93" s="2">
        <v>44635</v>
      </c>
      <c r="D93" s="6">
        <v>38.97</v>
      </c>
      <c r="E93" s="6">
        <v>46.76</v>
      </c>
      <c r="F93" s="1" t="s">
        <v>468</v>
      </c>
      <c r="G93" s="1" t="s">
        <v>3398</v>
      </c>
      <c r="H93" s="1" t="s">
        <v>1098</v>
      </c>
      <c r="I93" s="22" t="s">
        <v>1189</v>
      </c>
      <c r="J93" s="1" t="s">
        <v>3308</v>
      </c>
    </row>
    <row r="94" spans="1:10" x14ac:dyDescent="0.25">
      <c r="A94" s="1" t="s">
        <v>4042</v>
      </c>
      <c r="B94" s="1" t="s">
        <v>3460</v>
      </c>
      <c r="C94" s="2">
        <v>44635</v>
      </c>
      <c r="D94" s="6">
        <v>97</v>
      </c>
      <c r="E94" s="6">
        <v>116.4</v>
      </c>
      <c r="F94" s="1" t="s">
        <v>468</v>
      </c>
      <c r="G94" s="1" t="s">
        <v>3398</v>
      </c>
      <c r="H94" s="1" t="s">
        <v>1098</v>
      </c>
      <c r="I94" s="22" t="s">
        <v>1189</v>
      </c>
      <c r="J94" s="1" t="s">
        <v>3270</v>
      </c>
    </row>
    <row r="95" spans="1:10" x14ac:dyDescent="0.25">
      <c r="A95" s="1" t="s">
        <v>4043</v>
      </c>
      <c r="B95" s="1" t="s">
        <v>3461</v>
      </c>
      <c r="C95" s="2">
        <v>44635</v>
      </c>
      <c r="D95" s="6">
        <v>100.4</v>
      </c>
      <c r="E95" s="6">
        <v>120.48</v>
      </c>
      <c r="F95" s="1" t="s">
        <v>468</v>
      </c>
      <c r="G95" s="1" t="s">
        <v>3398</v>
      </c>
      <c r="H95" s="1" t="s">
        <v>1098</v>
      </c>
      <c r="I95" s="22" t="s">
        <v>1189</v>
      </c>
      <c r="J95" s="1" t="s">
        <v>3462</v>
      </c>
    </row>
    <row r="96" spans="1:10" x14ac:dyDescent="0.25">
      <c r="A96" s="1" t="s">
        <v>4044</v>
      </c>
      <c r="B96" s="1" t="s">
        <v>3463</v>
      </c>
      <c r="C96" s="2">
        <v>44635</v>
      </c>
      <c r="D96" s="6">
        <v>29.44</v>
      </c>
      <c r="E96" s="6">
        <v>29.44</v>
      </c>
      <c r="F96" s="1" t="s">
        <v>468</v>
      </c>
      <c r="G96" s="1" t="s">
        <v>3398</v>
      </c>
      <c r="H96" s="1" t="s">
        <v>1098</v>
      </c>
      <c r="I96" s="22" t="s">
        <v>1189</v>
      </c>
      <c r="J96" s="1" t="s">
        <v>3464</v>
      </c>
    </row>
    <row r="97" spans="1:10" x14ac:dyDescent="0.25">
      <c r="A97" s="1" t="s">
        <v>4045</v>
      </c>
      <c r="B97" s="1" t="s">
        <v>3465</v>
      </c>
      <c r="C97" s="2">
        <v>44635</v>
      </c>
      <c r="D97" s="6">
        <v>197.25</v>
      </c>
      <c r="E97" s="6">
        <v>236.7</v>
      </c>
      <c r="F97" s="1" t="s">
        <v>468</v>
      </c>
      <c r="G97" s="1" t="s">
        <v>3398</v>
      </c>
      <c r="H97" s="1" t="s">
        <v>1098</v>
      </c>
      <c r="I97" s="22" t="s">
        <v>1189</v>
      </c>
      <c r="J97" s="1" t="s">
        <v>3381</v>
      </c>
    </row>
    <row r="98" spans="1:10" x14ac:dyDescent="0.25">
      <c r="A98" s="1" t="s">
        <v>4046</v>
      </c>
      <c r="B98" s="1" t="s">
        <v>3466</v>
      </c>
      <c r="C98" s="2">
        <v>44635</v>
      </c>
      <c r="D98" s="6">
        <v>189.9</v>
      </c>
      <c r="E98" s="6">
        <v>227.88</v>
      </c>
      <c r="F98" s="1" t="s">
        <v>468</v>
      </c>
      <c r="G98" s="1" t="s">
        <v>3398</v>
      </c>
      <c r="H98" s="1" t="s">
        <v>1098</v>
      </c>
      <c r="I98" s="22" t="s">
        <v>1189</v>
      </c>
      <c r="J98" s="1" t="s">
        <v>3468</v>
      </c>
    </row>
    <row r="99" spans="1:10" x14ac:dyDescent="0.25">
      <c r="A99" s="1" t="s">
        <v>4047</v>
      </c>
      <c r="B99" s="1" t="s">
        <v>3470</v>
      </c>
      <c r="C99" s="2">
        <v>44635</v>
      </c>
      <c r="D99" s="6">
        <v>2939.53</v>
      </c>
      <c r="E99" s="6">
        <v>3527.44</v>
      </c>
      <c r="F99" s="1" t="s">
        <v>468</v>
      </c>
      <c r="G99" s="1" t="s">
        <v>3398</v>
      </c>
      <c r="H99" s="1" t="s">
        <v>1098</v>
      </c>
      <c r="I99" s="22" t="s">
        <v>1189</v>
      </c>
      <c r="J99" s="1" t="s">
        <v>3469</v>
      </c>
    </row>
    <row r="100" spans="1:10" x14ac:dyDescent="0.25">
      <c r="A100" s="1" t="s">
        <v>4048</v>
      </c>
      <c r="B100" s="1" t="s">
        <v>3471</v>
      </c>
      <c r="C100" s="2">
        <v>44635</v>
      </c>
      <c r="D100" s="6">
        <v>708.33</v>
      </c>
      <c r="E100" s="6">
        <v>850</v>
      </c>
      <c r="F100" s="1" t="s">
        <v>3472</v>
      </c>
      <c r="G100" s="1" t="s">
        <v>3473</v>
      </c>
      <c r="H100" s="1" t="s">
        <v>1155</v>
      </c>
      <c r="I100" s="22" t="s">
        <v>3474</v>
      </c>
      <c r="J100" s="1" t="s">
        <v>3475</v>
      </c>
    </row>
    <row r="101" spans="1:10" x14ac:dyDescent="0.25">
      <c r="A101" s="1" t="s">
        <v>4049</v>
      </c>
      <c r="B101" s="1" t="s">
        <v>691</v>
      </c>
      <c r="C101" s="2">
        <v>44637</v>
      </c>
      <c r="D101" s="6">
        <v>250</v>
      </c>
      <c r="E101" s="6">
        <v>250</v>
      </c>
      <c r="F101" s="1" t="s">
        <v>498</v>
      </c>
      <c r="G101" s="1" t="s">
        <v>3476</v>
      </c>
      <c r="H101" s="1" t="s">
        <v>1098</v>
      </c>
      <c r="I101" s="22" t="s">
        <v>3477</v>
      </c>
      <c r="J101" s="1" t="s">
        <v>3478</v>
      </c>
    </row>
    <row r="102" spans="1:10" x14ac:dyDescent="0.25">
      <c r="A102" s="1" t="s">
        <v>4050</v>
      </c>
      <c r="B102" s="1" t="s">
        <v>3479</v>
      </c>
      <c r="C102" s="2">
        <v>44638</v>
      </c>
      <c r="D102" s="6">
        <v>936</v>
      </c>
      <c r="E102" s="6">
        <v>936</v>
      </c>
      <c r="F102" s="1" t="s">
        <v>473</v>
      </c>
      <c r="G102" s="1" t="s">
        <v>3403</v>
      </c>
      <c r="H102" s="1" t="s">
        <v>1109</v>
      </c>
      <c r="I102" s="22" t="s">
        <v>3404</v>
      </c>
      <c r="J102" s="1" t="s">
        <v>3480</v>
      </c>
    </row>
    <row r="103" spans="1:10" x14ac:dyDescent="0.25">
      <c r="A103" s="1" t="s">
        <v>4051</v>
      </c>
      <c r="B103" s="1" t="s">
        <v>3481</v>
      </c>
      <c r="C103" s="2">
        <v>44638</v>
      </c>
      <c r="D103" s="6">
        <v>50.76</v>
      </c>
      <c r="E103" s="6">
        <v>60.9</v>
      </c>
      <c r="F103" s="1" t="s">
        <v>467</v>
      </c>
      <c r="G103" s="1" t="s">
        <v>3397</v>
      </c>
      <c r="H103" s="22" t="s">
        <v>1099</v>
      </c>
      <c r="I103" s="1" t="s">
        <v>1117</v>
      </c>
      <c r="J103" s="1" t="s">
        <v>3482</v>
      </c>
    </row>
    <row r="104" spans="1:10" x14ac:dyDescent="0.25">
      <c r="A104" s="1" t="s">
        <v>4052</v>
      </c>
      <c r="B104" s="1" t="s">
        <v>3484</v>
      </c>
      <c r="C104" s="2">
        <v>44638</v>
      </c>
      <c r="D104" s="6">
        <v>91.9</v>
      </c>
      <c r="E104" s="6">
        <v>110.28</v>
      </c>
      <c r="F104" s="1" t="s">
        <v>470</v>
      </c>
      <c r="G104" s="1" t="s">
        <v>3399</v>
      </c>
      <c r="H104" s="1" t="s">
        <v>1101</v>
      </c>
      <c r="I104" s="22" t="s">
        <v>3400</v>
      </c>
      <c r="J104" s="1" t="s">
        <v>982</v>
      </c>
    </row>
    <row r="105" spans="1:10" x14ac:dyDescent="0.25">
      <c r="A105" s="1" t="s">
        <v>4053</v>
      </c>
      <c r="B105" s="1" t="s">
        <v>3485</v>
      </c>
      <c r="C105" s="2">
        <v>44638</v>
      </c>
      <c r="D105" s="6">
        <v>12.05</v>
      </c>
      <c r="E105" s="6">
        <v>14.46</v>
      </c>
      <c r="F105" s="1" t="s">
        <v>466</v>
      </c>
      <c r="G105" s="1" t="s">
        <v>3406</v>
      </c>
      <c r="H105" s="1" t="s">
        <v>1105</v>
      </c>
      <c r="I105" s="22" t="s">
        <v>3405</v>
      </c>
      <c r="J105" s="1" t="s">
        <v>3486</v>
      </c>
    </row>
    <row r="106" spans="1:10" x14ac:dyDescent="0.25">
      <c r="A106" s="1" t="s">
        <v>4054</v>
      </c>
      <c r="B106" s="1" t="s">
        <v>3483</v>
      </c>
      <c r="C106" s="2">
        <v>44638</v>
      </c>
      <c r="D106" s="6">
        <v>101.3</v>
      </c>
      <c r="E106" s="6">
        <v>121.56</v>
      </c>
      <c r="F106" s="1" t="s">
        <v>466</v>
      </c>
      <c r="G106" s="1" t="s">
        <v>3406</v>
      </c>
      <c r="H106" s="1" t="s">
        <v>1105</v>
      </c>
      <c r="I106" s="22" t="s">
        <v>3405</v>
      </c>
      <c r="J106" s="1" t="s">
        <v>3487</v>
      </c>
    </row>
    <row r="107" spans="1:10" x14ac:dyDescent="0.25">
      <c r="A107" s="1" t="s">
        <v>4055</v>
      </c>
      <c r="B107" s="1" t="s">
        <v>3488</v>
      </c>
      <c r="C107" s="2">
        <v>44638</v>
      </c>
      <c r="D107" s="6">
        <v>65.599999999999994</v>
      </c>
      <c r="E107" s="6">
        <v>78.72</v>
      </c>
      <c r="F107" s="1" t="s">
        <v>468</v>
      </c>
      <c r="G107" s="1" t="s">
        <v>3398</v>
      </c>
      <c r="H107" s="1" t="s">
        <v>1098</v>
      </c>
      <c r="I107" s="22" t="s">
        <v>1189</v>
      </c>
      <c r="J107" s="1" t="s">
        <v>3270</v>
      </c>
    </row>
    <row r="108" spans="1:10" x14ac:dyDescent="0.25">
      <c r="A108" s="1" t="s">
        <v>4056</v>
      </c>
      <c r="B108" s="1" t="s">
        <v>3489</v>
      </c>
      <c r="C108" s="2">
        <v>44638</v>
      </c>
      <c r="D108" s="6">
        <v>9447.43</v>
      </c>
      <c r="E108" s="6">
        <v>11336.92</v>
      </c>
      <c r="F108" s="1" t="s">
        <v>468</v>
      </c>
      <c r="G108" s="1" t="s">
        <v>3398</v>
      </c>
      <c r="H108" s="1" t="s">
        <v>1098</v>
      </c>
      <c r="I108" s="22" t="s">
        <v>1189</v>
      </c>
      <c r="J108" s="1" t="s">
        <v>3490</v>
      </c>
    </row>
    <row r="109" spans="1:10" x14ac:dyDescent="0.25">
      <c r="A109" s="1" t="s">
        <v>4057</v>
      </c>
      <c r="B109" s="1" t="s">
        <v>3491</v>
      </c>
      <c r="C109" s="2">
        <v>44638</v>
      </c>
      <c r="D109" s="6">
        <v>1120.4000000000001</v>
      </c>
      <c r="E109" s="6">
        <v>1344.48</v>
      </c>
      <c r="F109" s="1" t="s">
        <v>468</v>
      </c>
      <c r="G109" s="1" t="s">
        <v>3398</v>
      </c>
      <c r="H109" s="1" t="s">
        <v>1098</v>
      </c>
      <c r="I109" s="22" t="s">
        <v>1189</v>
      </c>
      <c r="J109" s="1" t="s">
        <v>3492</v>
      </c>
    </row>
    <row r="110" spans="1:10" x14ac:dyDescent="0.25">
      <c r="A110" s="1" t="s">
        <v>4058</v>
      </c>
      <c r="B110" s="1" t="s">
        <v>3493</v>
      </c>
      <c r="C110" s="2">
        <v>44638</v>
      </c>
      <c r="D110" s="6">
        <v>3769</v>
      </c>
      <c r="E110" s="6">
        <v>4522.8</v>
      </c>
      <c r="F110" s="1" t="s">
        <v>475</v>
      </c>
      <c r="G110" s="1" t="s">
        <v>3411</v>
      </c>
      <c r="H110" s="22" t="s">
        <v>1115</v>
      </c>
      <c r="I110" s="1" t="s">
        <v>3412</v>
      </c>
      <c r="J110" s="1" t="s">
        <v>3494</v>
      </c>
    </row>
    <row r="111" spans="1:10" x14ac:dyDescent="0.25">
      <c r="A111" s="1" t="s">
        <v>4059</v>
      </c>
      <c r="B111" s="1" t="s">
        <v>3467</v>
      </c>
      <c r="C111" s="2">
        <v>44638</v>
      </c>
      <c r="D111" s="6">
        <v>12824.17</v>
      </c>
      <c r="E111" s="6">
        <v>15389</v>
      </c>
      <c r="F111" s="1" t="s">
        <v>468</v>
      </c>
      <c r="G111" s="1" t="s">
        <v>3398</v>
      </c>
      <c r="H111" s="1" t="s">
        <v>1098</v>
      </c>
      <c r="I111" s="22" t="s">
        <v>1189</v>
      </c>
      <c r="J111" s="1" t="s">
        <v>3495</v>
      </c>
    </row>
    <row r="112" spans="1:10" x14ac:dyDescent="0.25">
      <c r="A112" s="1" t="s">
        <v>4060</v>
      </c>
      <c r="B112" s="1" t="s">
        <v>3496</v>
      </c>
      <c r="C112" s="2">
        <v>44638</v>
      </c>
      <c r="D112" s="6">
        <v>3660</v>
      </c>
      <c r="E112" s="6">
        <v>4392</v>
      </c>
      <c r="F112" s="1" t="s">
        <v>468</v>
      </c>
      <c r="G112" s="1" t="s">
        <v>3398</v>
      </c>
      <c r="H112" s="1" t="s">
        <v>1098</v>
      </c>
      <c r="I112" s="22" t="s">
        <v>1189</v>
      </c>
      <c r="J112" s="1" t="s">
        <v>3497</v>
      </c>
    </row>
    <row r="113" spans="1:10" x14ac:dyDescent="0.25">
      <c r="A113" s="1" t="s">
        <v>4061</v>
      </c>
      <c r="B113" s="1" t="s">
        <v>3498</v>
      </c>
      <c r="C113" s="2">
        <v>44641</v>
      </c>
      <c r="D113" s="6">
        <v>61</v>
      </c>
      <c r="E113" s="6">
        <v>61</v>
      </c>
      <c r="F113" s="1" t="s">
        <v>469</v>
      </c>
      <c r="G113" s="33" t="s">
        <v>3407</v>
      </c>
      <c r="H113" s="4" t="s">
        <v>1100</v>
      </c>
      <c r="I113" s="4" t="s">
        <v>1100</v>
      </c>
      <c r="J113" s="1" t="s">
        <v>1940</v>
      </c>
    </row>
    <row r="114" spans="1:10" x14ac:dyDescent="0.25">
      <c r="A114" s="1" t="s">
        <v>4062</v>
      </c>
      <c r="B114" s="1" t="s">
        <v>3499</v>
      </c>
      <c r="C114" s="2">
        <v>44641</v>
      </c>
      <c r="D114" s="6">
        <v>45.5</v>
      </c>
      <c r="E114" s="6">
        <v>45.5</v>
      </c>
      <c r="F114" s="1" t="s">
        <v>469</v>
      </c>
      <c r="G114" s="33" t="s">
        <v>3407</v>
      </c>
      <c r="H114" s="4" t="s">
        <v>1100</v>
      </c>
      <c r="I114" s="4" t="s">
        <v>1100</v>
      </c>
      <c r="J114" s="1" t="s">
        <v>1940</v>
      </c>
    </row>
    <row r="115" spans="1:10" x14ac:dyDescent="0.25">
      <c r="A115" s="1" t="s">
        <v>4063</v>
      </c>
      <c r="B115" s="1" t="s">
        <v>3500</v>
      </c>
      <c r="C115" s="2">
        <v>44642</v>
      </c>
      <c r="D115" s="6">
        <v>55.5</v>
      </c>
      <c r="E115" s="6">
        <v>66.599999999999994</v>
      </c>
      <c r="F115" s="1" t="s">
        <v>470</v>
      </c>
      <c r="G115" s="1" t="s">
        <v>3399</v>
      </c>
      <c r="H115" s="1" t="s">
        <v>1101</v>
      </c>
      <c r="I115" s="22" t="s">
        <v>3400</v>
      </c>
      <c r="J115" s="1" t="s">
        <v>982</v>
      </c>
    </row>
    <row r="116" spans="1:10" x14ac:dyDescent="0.25">
      <c r="A116" s="1" t="s">
        <v>4064</v>
      </c>
      <c r="B116" s="1" t="s">
        <v>3501</v>
      </c>
      <c r="C116" s="2">
        <v>44642</v>
      </c>
      <c r="D116" s="6">
        <v>148</v>
      </c>
      <c r="E116" s="6">
        <v>177.6</v>
      </c>
      <c r="F116" s="1" t="s">
        <v>470</v>
      </c>
      <c r="G116" s="1" t="s">
        <v>3399</v>
      </c>
      <c r="H116" s="1" t="s">
        <v>1101</v>
      </c>
      <c r="I116" s="22" t="s">
        <v>3400</v>
      </c>
      <c r="J116" s="1" t="s">
        <v>982</v>
      </c>
    </row>
    <row r="117" spans="1:10" x14ac:dyDescent="0.25">
      <c r="A117" s="1" t="s">
        <v>4065</v>
      </c>
      <c r="B117" s="1" t="s">
        <v>3502</v>
      </c>
      <c r="C117" s="2">
        <v>44645</v>
      </c>
      <c r="D117" s="6">
        <v>4081.43</v>
      </c>
      <c r="E117" s="6">
        <v>4897.72</v>
      </c>
      <c r="F117" s="1" t="s">
        <v>468</v>
      </c>
      <c r="G117" s="1" t="s">
        <v>3398</v>
      </c>
      <c r="H117" s="1" t="s">
        <v>1098</v>
      </c>
      <c r="I117" s="22" t="s">
        <v>1189</v>
      </c>
      <c r="J117" s="1" t="s">
        <v>3503</v>
      </c>
    </row>
    <row r="118" spans="1:10" x14ac:dyDescent="0.25">
      <c r="A118" s="1" t="s">
        <v>4066</v>
      </c>
      <c r="B118" s="1" t="s">
        <v>3504</v>
      </c>
      <c r="C118" s="2">
        <v>44648</v>
      </c>
      <c r="D118" s="9">
        <v>-10.220000000000001</v>
      </c>
      <c r="E118" s="9">
        <v>-12.27</v>
      </c>
      <c r="F118" s="1" t="s">
        <v>468</v>
      </c>
      <c r="G118" s="1" t="s">
        <v>3398</v>
      </c>
      <c r="H118" s="1" t="s">
        <v>1098</v>
      </c>
      <c r="I118" s="22" t="s">
        <v>1189</v>
      </c>
      <c r="J118" s="1" t="s">
        <v>3505</v>
      </c>
    </row>
    <row r="119" spans="1:10" x14ac:dyDescent="0.25">
      <c r="A119" s="1" t="s">
        <v>4067</v>
      </c>
      <c r="B119" s="1" t="s">
        <v>3506</v>
      </c>
      <c r="C119" s="2">
        <v>44648</v>
      </c>
      <c r="D119" s="9">
        <v>-10639.99</v>
      </c>
      <c r="E119" s="9">
        <v>-12768.38</v>
      </c>
      <c r="F119" s="1" t="s">
        <v>475</v>
      </c>
      <c r="G119" s="1" t="s">
        <v>3411</v>
      </c>
      <c r="H119" s="22" t="s">
        <v>1115</v>
      </c>
      <c r="I119" s="1" t="s">
        <v>3412</v>
      </c>
      <c r="J119" s="1" t="s">
        <v>3507</v>
      </c>
    </row>
    <row r="120" spans="1:10" x14ac:dyDescent="0.25">
      <c r="A120" s="1" t="s">
        <v>4068</v>
      </c>
      <c r="B120" s="1" t="s">
        <v>3508</v>
      </c>
      <c r="C120" s="2">
        <v>44648</v>
      </c>
      <c r="D120" s="6">
        <v>9010</v>
      </c>
      <c r="E120" s="6">
        <v>9010</v>
      </c>
      <c r="F120" s="1" t="s">
        <v>3509</v>
      </c>
      <c r="G120" s="1" t="s">
        <v>3510</v>
      </c>
      <c r="H120" s="1" t="s">
        <v>3511</v>
      </c>
      <c r="I120" s="22" t="s">
        <v>3512</v>
      </c>
      <c r="J120" s="1" t="s">
        <v>3513</v>
      </c>
    </row>
    <row r="121" spans="1:10" x14ac:dyDescent="0.25">
      <c r="A121" s="1" t="s">
        <v>4069</v>
      </c>
      <c r="B121" s="1" t="s">
        <v>3514</v>
      </c>
      <c r="C121" s="2">
        <v>44648</v>
      </c>
      <c r="D121" s="6">
        <v>30</v>
      </c>
      <c r="E121" s="6">
        <v>30</v>
      </c>
      <c r="F121" s="1" t="s">
        <v>2751</v>
      </c>
      <c r="G121" s="1" t="s">
        <v>3515</v>
      </c>
      <c r="H121" s="1" t="s">
        <v>3516</v>
      </c>
      <c r="I121" s="22" t="s">
        <v>3517</v>
      </c>
      <c r="J121" s="1" t="s">
        <v>3518</v>
      </c>
    </row>
    <row r="122" spans="1:10" x14ac:dyDescent="0.25">
      <c r="A122" s="1" t="s">
        <v>4070</v>
      </c>
      <c r="B122" s="1" t="s">
        <v>3526</v>
      </c>
      <c r="C122" s="2">
        <v>44648</v>
      </c>
      <c r="D122" s="6">
        <v>237.5</v>
      </c>
      <c r="E122" s="6">
        <v>237.5</v>
      </c>
      <c r="F122" s="1" t="s">
        <v>469</v>
      </c>
      <c r="G122" s="33" t="s">
        <v>3407</v>
      </c>
      <c r="H122" s="4" t="s">
        <v>1100</v>
      </c>
      <c r="I122" s="4" t="s">
        <v>1100</v>
      </c>
      <c r="J122" s="1" t="s">
        <v>1940</v>
      </c>
    </row>
    <row r="123" spans="1:10" x14ac:dyDescent="0.25">
      <c r="A123" s="1" t="s">
        <v>4071</v>
      </c>
      <c r="B123" s="1" t="s">
        <v>3527</v>
      </c>
      <c r="C123" s="2">
        <v>44655</v>
      </c>
      <c r="D123" s="6">
        <v>1622</v>
      </c>
      <c r="E123" s="6">
        <v>1622</v>
      </c>
      <c r="F123" s="1" t="s">
        <v>486</v>
      </c>
      <c r="G123" s="1" t="s">
        <v>3528</v>
      </c>
      <c r="H123" s="1" t="s">
        <v>1133</v>
      </c>
      <c r="I123" s="22" t="s">
        <v>3529</v>
      </c>
      <c r="J123" s="1" t="s">
        <v>3530</v>
      </c>
    </row>
    <row r="124" spans="1:10" x14ac:dyDescent="0.25">
      <c r="A124" s="1" t="s">
        <v>4072</v>
      </c>
      <c r="B124" s="1" t="s">
        <v>3533</v>
      </c>
      <c r="C124" s="2">
        <v>44655</v>
      </c>
      <c r="D124" s="6">
        <v>2377.4299999999998</v>
      </c>
      <c r="E124" s="6">
        <v>2377.4299999999998</v>
      </c>
      <c r="F124" s="1" t="s">
        <v>486</v>
      </c>
      <c r="G124" s="1" t="s">
        <v>3528</v>
      </c>
      <c r="H124" s="1" t="s">
        <v>1133</v>
      </c>
      <c r="I124" s="22" t="s">
        <v>3531</v>
      </c>
      <c r="J124" s="1" t="s">
        <v>3532</v>
      </c>
    </row>
    <row r="125" spans="1:10" x14ac:dyDescent="0.25">
      <c r="A125" s="1" t="s">
        <v>4073</v>
      </c>
      <c r="B125" s="1" t="s">
        <v>3534</v>
      </c>
      <c r="C125" s="2">
        <v>44655</v>
      </c>
      <c r="D125" s="6">
        <v>580</v>
      </c>
      <c r="E125" s="6">
        <v>580</v>
      </c>
      <c r="F125" s="1" t="s">
        <v>486</v>
      </c>
      <c r="G125" s="1" t="s">
        <v>3528</v>
      </c>
      <c r="H125" s="1" t="s">
        <v>1133</v>
      </c>
      <c r="I125" s="22" t="s">
        <v>3535</v>
      </c>
      <c r="J125" s="1" t="s">
        <v>3536</v>
      </c>
    </row>
    <row r="126" spans="1:10" x14ac:dyDescent="0.25">
      <c r="A126" s="1" t="s">
        <v>4074</v>
      </c>
      <c r="B126" s="1" t="s">
        <v>3537</v>
      </c>
      <c r="C126" s="2">
        <v>44655</v>
      </c>
      <c r="D126" s="6">
        <v>2727.15</v>
      </c>
      <c r="E126" s="6">
        <v>2727.15</v>
      </c>
      <c r="F126" s="1" t="s">
        <v>486</v>
      </c>
      <c r="G126" s="1" t="s">
        <v>3528</v>
      </c>
      <c r="H126" s="1" t="s">
        <v>1133</v>
      </c>
      <c r="I126" s="22" t="s">
        <v>3535</v>
      </c>
      <c r="J126" s="1" t="s">
        <v>3532</v>
      </c>
    </row>
    <row r="127" spans="1:10" x14ac:dyDescent="0.25">
      <c r="A127" s="1" t="s">
        <v>4075</v>
      </c>
      <c r="B127" s="1" t="s">
        <v>3538</v>
      </c>
      <c r="C127" s="2">
        <v>44657</v>
      </c>
      <c r="D127" s="6">
        <v>13340.77</v>
      </c>
      <c r="E127" s="6">
        <v>16008.92</v>
      </c>
      <c r="F127" s="1" t="s">
        <v>3011</v>
      </c>
      <c r="G127" s="1" t="s">
        <v>3539</v>
      </c>
      <c r="H127" s="1" t="s">
        <v>3012</v>
      </c>
      <c r="I127" s="22" t="s">
        <v>3540</v>
      </c>
      <c r="J127" s="1" t="s">
        <v>3541</v>
      </c>
    </row>
    <row r="128" spans="1:10" x14ac:dyDescent="0.25">
      <c r="A128" s="1" t="s">
        <v>4076</v>
      </c>
      <c r="B128" s="1" t="s">
        <v>3542</v>
      </c>
      <c r="C128" s="2">
        <v>44657</v>
      </c>
      <c r="D128" s="6">
        <v>1075</v>
      </c>
      <c r="E128" s="6">
        <v>1290</v>
      </c>
      <c r="F128" s="1" t="s">
        <v>3472</v>
      </c>
      <c r="G128" s="1" t="s">
        <v>3473</v>
      </c>
      <c r="H128" s="1" t="s">
        <v>1155</v>
      </c>
      <c r="I128" s="22" t="s">
        <v>3543</v>
      </c>
      <c r="J128" s="1" t="s">
        <v>3544</v>
      </c>
    </row>
    <row r="129" spans="1:10" x14ac:dyDescent="0.25">
      <c r="A129" s="1" t="s">
        <v>4077</v>
      </c>
      <c r="B129" s="1" t="s">
        <v>3545</v>
      </c>
      <c r="C129" s="2">
        <v>44656</v>
      </c>
      <c r="D129" s="6">
        <v>49087.8</v>
      </c>
      <c r="E129" s="6">
        <v>5890.56</v>
      </c>
      <c r="F129" s="1" t="s">
        <v>1527</v>
      </c>
      <c r="G129" s="1" t="s">
        <v>3546</v>
      </c>
      <c r="H129" s="1" t="s">
        <v>1528</v>
      </c>
      <c r="I129" s="22" t="s">
        <v>3547</v>
      </c>
      <c r="J129" s="1" t="s">
        <v>3548</v>
      </c>
    </row>
    <row r="130" spans="1:10" x14ac:dyDescent="0.25">
      <c r="A130" s="1" t="s">
        <v>4078</v>
      </c>
      <c r="B130" s="1" t="s">
        <v>3549</v>
      </c>
      <c r="C130" s="2">
        <v>44657</v>
      </c>
      <c r="D130" s="6">
        <v>264</v>
      </c>
      <c r="E130" s="6">
        <v>316.8</v>
      </c>
      <c r="F130" s="1" t="s">
        <v>488</v>
      </c>
      <c r="G130" s="1" t="s">
        <v>3446</v>
      </c>
      <c r="H130" s="1" t="s">
        <v>1137</v>
      </c>
      <c r="I130" s="22" t="s">
        <v>3447</v>
      </c>
      <c r="J130" s="1" t="s">
        <v>3550</v>
      </c>
    </row>
    <row r="131" spans="1:10" x14ac:dyDescent="0.25">
      <c r="A131" s="1" t="s">
        <v>4079</v>
      </c>
      <c r="B131" s="1" t="s">
        <v>3551</v>
      </c>
      <c r="C131" s="2">
        <v>44657</v>
      </c>
      <c r="D131" s="6">
        <v>165.96</v>
      </c>
      <c r="E131" s="6">
        <v>199.15</v>
      </c>
      <c r="F131" s="1" t="s">
        <v>466</v>
      </c>
      <c r="G131" s="1" t="s">
        <v>3406</v>
      </c>
      <c r="H131" s="1" t="s">
        <v>1105</v>
      </c>
      <c r="I131" s="22" t="s">
        <v>3405</v>
      </c>
      <c r="J131" s="1" t="s">
        <v>3552</v>
      </c>
    </row>
    <row r="132" spans="1:10" x14ac:dyDescent="0.25">
      <c r="A132" s="1" t="s">
        <v>4080</v>
      </c>
      <c r="B132" s="1" t="s">
        <v>3553</v>
      </c>
      <c r="C132" s="2">
        <v>44656</v>
      </c>
      <c r="D132" s="6">
        <v>74</v>
      </c>
      <c r="E132" s="6">
        <v>88.88</v>
      </c>
      <c r="F132" s="1" t="s">
        <v>470</v>
      </c>
      <c r="G132" s="1" t="s">
        <v>3399</v>
      </c>
      <c r="H132" s="1" t="s">
        <v>1101</v>
      </c>
      <c r="I132" s="22" t="s">
        <v>3400</v>
      </c>
      <c r="J132" s="1" t="s">
        <v>982</v>
      </c>
    </row>
    <row r="133" spans="1:10" x14ac:dyDescent="0.25">
      <c r="A133" s="1" t="s">
        <v>4081</v>
      </c>
      <c r="B133" s="1" t="s">
        <v>3355</v>
      </c>
      <c r="C133" s="2">
        <v>44655</v>
      </c>
      <c r="D133" s="6">
        <v>1736</v>
      </c>
      <c r="E133" s="6">
        <v>2083.1999999999998</v>
      </c>
      <c r="F133" s="1" t="s">
        <v>2597</v>
      </c>
      <c r="G133" s="1" t="s">
        <v>3401</v>
      </c>
      <c r="H133" s="1" t="s">
        <v>2598</v>
      </c>
      <c r="I133" s="22" t="s">
        <v>3402</v>
      </c>
      <c r="J133" s="1" t="s">
        <v>3554</v>
      </c>
    </row>
    <row r="134" spans="1:10" x14ac:dyDescent="0.25">
      <c r="A134" s="1" t="s">
        <v>4082</v>
      </c>
      <c r="B134" s="1" t="s">
        <v>3555</v>
      </c>
      <c r="C134" s="2">
        <v>44650</v>
      </c>
      <c r="D134" s="6">
        <v>2064.4699999999998</v>
      </c>
      <c r="E134" s="6">
        <v>2477.36</v>
      </c>
      <c r="F134" s="1" t="s">
        <v>470</v>
      </c>
      <c r="G134" s="1" t="s">
        <v>3399</v>
      </c>
      <c r="H134" s="1" t="s">
        <v>3556</v>
      </c>
      <c r="I134" s="22" t="s">
        <v>3400</v>
      </c>
      <c r="J134" s="1" t="s">
        <v>3557</v>
      </c>
    </row>
    <row r="135" spans="1:10" x14ac:dyDescent="0.25">
      <c r="A135" s="1" t="s">
        <v>4083</v>
      </c>
      <c r="B135" s="1" t="s">
        <v>3558</v>
      </c>
      <c r="C135" s="2">
        <v>44655</v>
      </c>
      <c r="D135" s="6">
        <v>18987</v>
      </c>
      <c r="E135" s="6">
        <v>22784.400000000001</v>
      </c>
      <c r="F135" s="1" t="s">
        <v>468</v>
      </c>
      <c r="G135" s="1" t="s">
        <v>3398</v>
      </c>
      <c r="H135" s="1" t="s">
        <v>1098</v>
      </c>
      <c r="I135" s="22" t="s">
        <v>1189</v>
      </c>
      <c r="J135" s="1" t="s">
        <v>3559</v>
      </c>
    </row>
    <row r="136" spans="1:10" x14ac:dyDescent="0.25">
      <c r="A136" s="1" t="s">
        <v>4084</v>
      </c>
      <c r="B136" s="1" t="s">
        <v>3560</v>
      </c>
      <c r="C136" s="2">
        <v>44649</v>
      </c>
      <c r="D136" s="6">
        <v>204.36</v>
      </c>
      <c r="E136" s="6">
        <v>245.23</v>
      </c>
      <c r="F136" s="1" t="s">
        <v>468</v>
      </c>
      <c r="G136" s="1" t="s">
        <v>3398</v>
      </c>
      <c r="H136" s="1" t="s">
        <v>1098</v>
      </c>
      <c r="I136" s="22" t="s">
        <v>1189</v>
      </c>
      <c r="J136" s="1" t="s">
        <v>2567</v>
      </c>
    </row>
    <row r="137" spans="1:10" x14ac:dyDescent="0.25">
      <c r="A137" s="1" t="s">
        <v>4085</v>
      </c>
      <c r="B137" s="1" t="s">
        <v>3561</v>
      </c>
      <c r="C137" s="2">
        <v>44659</v>
      </c>
      <c r="D137" s="6">
        <v>2450</v>
      </c>
      <c r="E137" s="6"/>
      <c r="F137" s="1" t="s">
        <v>3562</v>
      </c>
      <c r="G137" s="1" t="s">
        <v>3563</v>
      </c>
      <c r="H137" s="1" t="s">
        <v>1128</v>
      </c>
      <c r="I137" s="22" t="s">
        <v>3628</v>
      </c>
      <c r="J137" s="1" t="s">
        <v>3564</v>
      </c>
    </row>
    <row r="138" spans="1:10" x14ac:dyDescent="0.25">
      <c r="A138" s="1" t="s">
        <v>4086</v>
      </c>
      <c r="B138" s="1" t="s">
        <v>3565</v>
      </c>
      <c r="C138" s="2">
        <v>44659</v>
      </c>
      <c r="D138" s="6">
        <v>206</v>
      </c>
      <c r="E138" s="6">
        <v>247.2</v>
      </c>
      <c r="F138" s="1" t="s">
        <v>470</v>
      </c>
      <c r="G138" s="1" t="s">
        <v>3399</v>
      </c>
      <c r="H138" s="1" t="s">
        <v>3556</v>
      </c>
      <c r="I138" s="22" t="s">
        <v>3400</v>
      </c>
      <c r="J138" s="1" t="s">
        <v>982</v>
      </c>
    </row>
    <row r="139" spans="1:10" x14ac:dyDescent="0.25">
      <c r="A139" s="1" t="s">
        <v>4087</v>
      </c>
      <c r="B139" s="1" t="s">
        <v>3566</v>
      </c>
      <c r="C139" s="2">
        <v>44659</v>
      </c>
      <c r="D139" s="6">
        <v>206</v>
      </c>
      <c r="E139" s="6">
        <v>247.2</v>
      </c>
      <c r="F139" s="1" t="s">
        <v>470</v>
      </c>
      <c r="G139" s="1" t="s">
        <v>3399</v>
      </c>
      <c r="H139" s="1" t="s">
        <v>3556</v>
      </c>
      <c r="I139" s="22" t="s">
        <v>3400</v>
      </c>
      <c r="J139" s="1" t="s">
        <v>982</v>
      </c>
    </row>
    <row r="140" spans="1:10" x14ac:dyDescent="0.25">
      <c r="A140" s="1" t="s">
        <v>4088</v>
      </c>
      <c r="B140" s="1" t="s">
        <v>3567</v>
      </c>
      <c r="C140" s="2">
        <v>44659</v>
      </c>
      <c r="D140" s="6">
        <v>206</v>
      </c>
      <c r="E140" s="6">
        <v>247.2</v>
      </c>
      <c r="F140" s="1" t="s">
        <v>470</v>
      </c>
      <c r="G140" s="1" t="s">
        <v>3399</v>
      </c>
      <c r="H140" s="1" t="s">
        <v>3556</v>
      </c>
      <c r="I140" s="22" t="s">
        <v>3400</v>
      </c>
      <c r="J140" s="1" t="s">
        <v>982</v>
      </c>
    </row>
    <row r="141" spans="1:10" x14ac:dyDescent="0.25">
      <c r="A141" s="1" t="s">
        <v>4089</v>
      </c>
      <c r="B141" s="1" t="s">
        <v>3568</v>
      </c>
      <c r="C141" s="2">
        <v>44663</v>
      </c>
      <c r="D141" s="6"/>
      <c r="E141" s="6">
        <v>30.24</v>
      </c>
      <c r="F141" s="1" t="s">
        <v>468</v>
      </c>
      <c r="G141" s="1" t="s">
        <v>3398</v>
      </c>
      <c r="H141" s="1" t="s">
        <v>1098</v>
      </c>
      <c r="I141" s="22" t="s">
        <v>1189</v>
      </c>
      <c r="J141" s="1" t="s">
        <v>3569</v>
      </c>
    </row>
    <row r="142" spans="1:10" x14ac:dyDescent="0.25">
      <c r="A142" s="1" t="s">
        <v>4090</v>
      </c>
      <c r="B142" s="1" t="s">
        <v>3570</v>
      </c>
      <c r="C142" s="2">
        <v>44663</v>
      </c>
      <c r="D142" s="6">
        <v>2175.5</v>
      </c>
      <c r="E142" s="6">
        <v>2610.6</v>
      </c>
      <c r="F142" s="1" t="s">
        <v>468</v>
      </c>
      <c r="G142" s="1" t="s">
        <v>3398</v>
      </c>
      <c r="H142" s="1" t="s">
        <v>1098</v>
      </c>
      <c r="I142" s="22" t="s">
        <v>1189</v>
      </c>
      <c r="J142" s="1" t="s">
        <v>3347</v>
      </c>
    </row>
    <row r="143" spans="1:10" x14ac:dyDescent="0.25">
      <c r="A143" s="1" t="s">
        <v>4091</v>
      </c>
      <c r="B143" s="1" t="s">
        <v>3571</v>
      </c>
      <c r="C143" s="2">
        <v>44663</v>
      </c>
      <c r="D143" s="6">
        <v>200.55</v>
      </c>
      <c r="E143" s="6">
        <v>240.66</v>
      </c>
      <c r="F143" s="1" t="s">
        <v>468</v>
      </c>
      <c r="G143" s="1" t="s">
        <v>3398</v>
      </c>
      <c r="H143" s="1" t="s">
        <v>1098</v>
      </c>
      <c r="I143" s="22" t="s">
        <v>1189</v>
      </c>
      <c r="J143" s="1" t="s">
        <v>3572</v>
      </c>
    </row>
    <row r="144" spans="1:10" x14ac:dyDescent="0.25">
      <c r="A144" s="1" t="s">
        <v>4092</v>
      </c>
      <c r="B144" s="1" t="s">
        <v>3573</v>
      </c>
      <c r="C144" s="2">
        <v>44662</v>
      </c>
      <c r="D144" s="6">
        <v>222.6</v>
      </c>
      <c r="E144" s="6">
        <v>267.12</v>
      </c>
      <c r="F144" s="1" t="s">
        <v>468</v>
      </c>
      <c r="G144" s="1" t="s">
        <v>3398</v>
      </c>
      <c r="H144" s="1" t="s">
        <v>1098</v>
      </c>
      <c r="I144" s="22" t="s">
        <v>1189</v>
      </c>
      <c r="J144" s="1" t="s">
        <v>3574</v>
      </c>
    </row>
    <row r="145" spans="1:10" x14ac:dyDescent="0.25">
      <c r="A145" s="1" t="s">
        <v>4093</v>
      </c>
      <c r="B145" s="1" t="s">
        <v>3575</v>
      </c>
      <c r="C145" s="2">
        <v>44662</v>
      </c>
      <c r="D145" s="6">
        <v>12540.83</v>
      </c>
      <c r="E145" s="6">
        <v>15049</v>
      </c>
      <c r="F145" s="1" t="s">
        <v>468</v>
      </c>
      <c r="G145" s="1" t="s">
        <v>3398</v>
      </c>
      <c r="H145" s="1" t="s">
        <v>1098</v>
      </c>
      <c r="I145" s="22" t="s">
        <v>1189</v>
      </c>
      <c r="J145" s="1" t="s">
        <v>3576</v>
      </c>
    </row>
    <row r="146" spans="1:10" x14ac:dyDescent="0.25">
      <c r="A146" s="1" t="s">
        <v>4094</v>
      </c>
      <c r="B146" s="1" t="s">
        <v>3577</v>
      </c>
      <c r="C146" s="2">
        <v>44662</v>
      </c>
      <c r="D146" s="6">
        <v>162.6</v>
      </c>
      <c r="E146" s="6">
        <v>195.12</v>
      </c>
      <c r="F146" s="1" t="s">
        <v>468</v>
      </c>
      <c r="G146" s="1" t="s">
        <v>3398</v>
      </c>
      <c r="H146" s="1" t="s">
        <v>1098</v>
      </c>
      <c r="I146" s="22" t="s">
        <v>1189</v>
      </c>
      <c r="J146" s="1" t="s">
        <v>3578</v>
      </c>
    </row>
    <row r="147" spans="1:10" x14ac:dyDescent="0.25">
      <c r="A147" s="1" t="s">
        <v>4095</v>
      </c>
      <c r="B147" s="1" t="s">
        <v>3579</v>
      </c>
      <c r="C147" s="2">
        <v>44662</v>
      </c>
      <c r="D147" s="6">
        <v>2936.92</v>
      </c>
      <c r="E147" s="6">
        <v>3524.31</v>
      </c>
      <c r="F147" s="1" t="s">
        <v>468</v>
      </c>
      <c r="G147" s="1" t="s">
        <v>3398</v>
      </c>
      <c r="H147" s="1" t="s">
        <v>1098</v>
      </c>
      <c r="I147" s="22" t="s">
        <v>1189</v>
      </c>
      <c r="J147" s="1" t="s">
        <v>3580</v>
      </c>
    </row>
    <row r="148" spans="1:10" x14ac:dyDescent="0.25">
      <c r="A148" s="1" t="s">
        <v>4096</v>
      </c>
      <c r="B148" s="1" t="s">
        <v>3581</v>
      </c>
      <c r="C148" s="2">
        <v>44664</v>
      </c>
      <c r="D148" s="6">
        <v>458.5</v>
      </c>
      <c r="E148" s="6">
        <v>458.5</v>
      </c>
      <c r="F148" s="1" t="s">
        <v>469</v>
      </c>
      <c r="G148" s="1" t="s">
        <v>3407</v>
      </c>
      <c r="H148" s="1"/>
      <c r="I148" s="22"/>
      <c r="J148" s="1" t="s">
        <v>1940</v>
      </c>
    </row>
    <row r="149" spans="1:10" x14ac:dyDescent="0.25">
      <c r="A149" s="1" t="s">
        <v>4097</v>
      </c>
      <c r="B149" s="1" t="s">
        <v>3582</v>
      </c>
      <c r="C149" s="2">
        <v>44679</v>
      </c>
      <c r="D149" s="6">
        <v>264</v>
      </c>
      <c r="E149" s="6">
        <v>316.8</v>
      </c>
      <c r="F149" s="1" t="s">
        <v>470</v>
      </c>
      <c r="G149" s="1" t="s">
        <v>3399</v>
      </c>
      <c r="H149" s="1" t="s">
        <v>3556</v>
      </c>
      <c r="I149" s="22" t="s">
        <v>3400</v>
      </c>
      <c r="J149" s="1" t="s">
        <v>982</v>
      </c>
    </row>
    <row r="150" spans="1:10" x14ac:dyDescent="0.25">
      <c r="A150" s="1" t="s">
        <v>4098</v>
      </c>
      <c r="B150" s="1" t="s">
        <v>3583</v>
      </c>
      <c r="C150" s="2">
        <v>44676</v>
      </c>
      <c r="D150" s="6"/>
      <c r="E150" s="9">
        <v>-97.98</v>
      </c>
      <c r="F150" s="1" t="s">
        <v>471</v>
      </c>
      <c r="G150" s="1" t="s">
        <v>3413</v>
      </c>
      <c r="H150" s="1" t="s">
        <v>1103</v>
      </c>
      <c r="I150" s="22" t="s">
        <v>3627</v>
      </c>
      <c r="J150" s="1" t="s">
        <v>3584</v>
      </c>
    </row>
    <row r="151" spans="1:10" x14ac:dyDescent="0.25">
      <c r="A151" s="1" t="s">
        <v>4099</v>
      </c>
      <c r="B151" s="1" t="s">
        <v>3585</v>
      </c>
      <c r="C151" s="2">
        <v>44677</v>
      </c>
      <c r="D151" s="6">
        <v>250</v>
      </c>
      <c r="E151" s="6">
        <v>250</v>
      </c>
      <c r="F151" s="1" t="s">
        <v>498</v>
      </c>
      <c r="G151" s="1" t="s">
        <v>3476</v>
      </c>
      <c r="H151" s="1" t="s">
        <v>1180</v>
      </c>
      <c r="I151" s="22" t="s">
        <v>3586</v>
      </c>
      <c r="J151" s="1" t="s">
        <v>3587</v>
      </c>
    </row>
    <row r="152" spans="1:10" x14ac:dyDescent="0.25">
      <c r="A152" s="1" t="s">
        <v>4100</v>
      </c>
      <c r="B152" s="1" t="s">
        <v>3588</v>
      </c>
      <c r="C152" s="2">
        <v>44672</v>
      </c>
      <c r="D152" s="6">
        <v>936</v>
      </c>
      <c r="E152" s="6">
        <v>936</v>
      </c>
      <c r="F152" s="1" t="s">
        <v>473</v>
      </c>
      <c r="G152" s="1" t="s">
        <v>3403</v>
      </c>
      <c r="H152" s="1" t="s">
        <v>1109</v>
      </c>
      <c r="I152" s="22" t="s">
        <v>3404</v>
      </c>
      <c r="J152" s="1" t="s">
        <v>3589</v>
      </c>
    </row>
    <row r="153" spans="1:10" x14ac:dyDescent="0.25">
      <c r="A153" s="1" t="s">
        <v>4101</v>
      </c>
      <c r="B153" s="1" t="s">
        <v>3590</v>
      </c>
      <c r="C153" s="2">
        <v>44673</v>
      </c>
      <c r="D153" s="6">
        <v>206</v>
      </c>
      <c r="E153" s="6">
        <v>247.2</v>
      </c>
      <c r="F153" s="1" t="s">
        <v>470</v>
      </c>
      <c r="G153" s="1" t="s">
        <v>3399</v>
      </c>
      <c r="H153" s="1" t="s">
        <v>3556</v>
      </c>
      <c r="I153" s="22" t="s">
        <v>3400</v>
      </c>
      <c r="J153" s="1" t="s">
        <v>982</v>
      </c>
    </row>
    <row r="154" spans="1:10" x14ac:dyDescent="0.25">
      <c r="A154" s="1" t="s">
        <v>4102</v>
      </c>
      <c r="B154" s="1" t="s">
        <v>3591</v>
      </c>
      <c r="C154" s="2">
        <v>44673</v>
      </c>
      <c r="D154" s="6">
        <v>206</v>
      </c>
      <c r="E154" s="6">
        <v>247.2</v>
      </c>
      <c r="F154" s="1" t="s">
        <v>470</v>
      </c>
      <c r="G154" s="1" t="s">
        <v>3399</v>
      </c>
      <c r="H154" s="1" t="s">
        <v>3556</v>
      </c>
      <c r="I154" s="22" t="s">
        <v>3400</v>
      </c>
      <c r="J154" s="1" t="s">
        <v>982</v>
      </c>
    </row>
    <row r="155" spans="1:10" x14ac:dyDescent="0.25">
      <c r="A155" s="1" t="s">
        <v>4103</v>
      </c>
      <c r="B155" s="1" t="s">
        <v>3592</v>
      </c>
      <c r="C155" s="2">
        <v>44671</v>
      </c>
      <c r="D155" s="6">
        <v>50.76</v>
      </c>
      <c r="E155" s="6">
        <v>60.9</v>
      </c>
      <c r="F155" s="1" t="s">
        <v>467</v>
      </c>
      <c r="G155" s="1" t="s">
        <v>3397</v>
      </c>
      <c r="H155" s="1" t="s">
        <v>1099</v>
      </c>
      <c r="I155" s="22" t="s">
        <v>1117</v>
      </c>
      <c r="J155" s="1" t="s">
        <v>3593</v>
      </c>
    </row>
    <row r="156" spans="1:10" x14ac:dyDescent="0.25">
      <c r="A156" s="1" t="s">
        <v>4104</v>
      </c>
      <c r="B156" s="1" t="s">
        <v>3594</v>
      </c>
      <c r="C156" s="2">
        <v>44671</v>
      </c>
      <c r="D156" s="6">
        <v>2999</v>
      </c>
      <c r="E156" s="6">
        <v>3598.8</v>
      </c>
      <c r="F156" s="1" t="s">
        <v>468</v>
      </c>
      <c r="G156" s="1" t="s">
        <v>3398</v>
      </c>
      <c r="H156" s="1" t="s">
        <v>1098</v>
      </c>
      <c r="I156" s="22" t="s">
        <v>1189</v>
      </c>
      <c r="J156" s="1" t="s">
        <v>3595</v>
      </c>
    </row>
    <row r="157" spans="1:10" x14ac:dyDescent="0.25">
      <c r="A157" s="1" t="s">
        <v>4105</v>
      </c>
      <c r="B157" s="1" t="s">
        <v>3596</v>
      </c>
      <c r="C157" s="2">
        <v>44678</v>
      </c>
      <c r="D157" s="6">
        <v>20.55</v>
      </c>
      <c r="E157" s="6">
        <v>24.66</v>
      </c>
      <c r="F157" s="1" t="s">
        <v>468</v>
      </c>
      <c r="G157" s="1" t="s">
        <v>3398</v>
      </c>
      <c r="H157" s="1" t="s">
        <v>1098</v>
      </c>
      <c r="I157" s="22" t="s">
        <v>1189</v>
      </c>
      <c r="J157" s="1" t="s">
        <v>3597</v>
      </c>
    </row>
    <row r="158" spans="1:10" x14ac:dyDescent="0.25">
      <c r="A158" s="1" t="s">
        <v>4106</v>
      </c>
      <c r="B158" s="1" t="s">
        <v>3598</v>
      </c>
      <c r="C158" s="2">
        <v>44678</v>
      </c>
      <c r="D158" s="6">
        <v>506.14</v>
      </c>
      <c r="E158" s="6">
        <v>607.37</v>
      </c>
      <c r="F158" s="1" t="s">
        <v>468</v>
      </c>
      <c r="G158" s="1" t="s">
        <v>3398</v>
      </c>
      <c r="H158" s="1" t="s">
        <v>1098</v>
      </c>
      <c r="I158" s="22" t="s">
        <v>1189</v>
      </c>
      <c r="J158" s="1" t="s">
        <v>2567</v>
      </c>
    </row>
    <row r="159" spans="1:10" x14ac:dyDescent="0.25">
      <c r="A159" s="1" t="s">
        <v>4107</v>
      </c>
      <c r="B159" s="1" t="s">
        <v>3599</v>
      </c>
      <c r="C159" s="2">
        <v>44671</v>
      </c>
      <c r="D159" s="6">
        <v>6174.46</v>
      </c>
      <c r="E159" s="6">
        <v>7409.35</v>
      </c>
      <c r="F159" s="1" t="s">
        <v>468</v>
      </c>
      <c r="G159" s="1" t="s">
        <v>3398</v>
      </c>
      <c r="H159" s="1" t="s">
        <v>1098</v>
      </c>
      <c r="I159" s="22" t="s">
        <v>1189</v>
      </c>
      <c r="J159" s="1" t="s">
        <v>2567</v>
      </c>
    </row>
    <row r="160" spans="1:10" x14ac:dyDescent="0.25">
      <c r="A160" s="1" t="s">
        <v>4108</v>
      </c>
      <c r="B160" s="1" t="s">
        <v>3601</v>
      </c>
      <c r="C160" s="2">
        <v>44671</v>
      </c>
      <c r="D160" s="6">
        <v>58.75</v>
      </c>
      <c r="E160" s="6">
        <v>70.5</v>
      </c>
      <c r="F160" s="1" t="s">
        <v>468</v>
      </c>
      <c r="G160" s="1" t="s">
        <v>3398</v>
      </c>
      <c r="H160" s="1" t="s">
        <v>1098</v>
      </c>
      <c r="I160" s="22" t="s">
        <v>1189</v>
      </c>
      <c r="J160" s="1" t="s">
        <v>2567</v>
      </c>
    </row>
    <row r="161" spans="1:10" x14ac:dyDescent="0.25">
      <c r="A161" s="1" t="s">
        <v>4109</v>
      </c>
      <c r="B161" s="1" t="s">
        <v>3602</v>
      </c>
      <c r="C161" s="2">
        <v>44671</v>
      </c>
      <c r="D161" s="6">
        <v>64.75</v>
      </c>
      <c r="E161" s="6">
        <v>77.7</v>
      </c>
      <c r="F161" s="1" t="s">
        <v>468</v>
      </c>
      <c r="G161" s="1" t="s">
        <v>3398</v>
      </c>
      <c r="H161" s="1" t="s">
        <v>1098</v>
      </c>
      <c r="I161" s="22" t="s">
        <v>1189</v>
      </c>
      <c r="J161" s="1" t="s">
        <v>3603</v>
      </c>
    </row>
    <row r="162" spans="1:10" x14ac:dyDescent="0.25">
      <c r="A162" s="1" t="s">
        <v>4110</v>
      </c>
      <c r="B162" s="1" t="s">
        <v>3604</v>
      </c>
      <c r="C162" s="2">
        <v>44671</v>
      </c>
      <c r="D162" s="6">
        <v>105.03</v>
      </c>
      <c r="E162" s="6">
        <v>126.04</v>
      </c>
      <c r="F162" s="1" t="s">
        <v>468</v>
      </c>
      <c r="G162" s="1" t="s">
        <v>3398</v>
      </c>
      <c r="H162" s="1" t="s">
        <v>1098</v>
      </c>
      <c r="I162" s="22" t="s">
        <v>1189</v>
      </c>
      <c r="J162" s="1" t="s">
        <v>3605</v>
      </c>
    </row>
    <row r="163" spans="1:10" x14ac:dyDescent="0.25">
      <c r="A163" s="1" t="s">
        <v>4111</v>
      </c>
      <c r="B163" s="1" t="s">
        <v>3606</v>
      </c>
      <c r="C163" s="2">
        <v>44671</v>
      </c>
      <c r="D163" s="6">
        <v>4397.3100000000004</v>
      </c>
      <c r="E163" s="6">
        <v>5276.77</v>
      </c>
      <c r="F163" s="1" t="s">
        <v>468</v>
      </c>
      <c r="G163" s="1" t="s">
        <v>3398</v>
      </c>
      <c r="H163" s="1" t="s">
        <v>1098</v>
      </c>
      <c r="I163" s="22" t="s">
        <v>1189</v>
      </c>
      <c r="J163" s="1" t="s">
        <v>3607</v>
      </c>
    </row>
    <row r="164" spans="1:10" x14ac:dyDescent="0.25">
      <c r="A164" s="1" t="s">
        <v>4112</v>
      </c>
      <c r="B164" s="1" t="s">
        <v>3608</v>
      </c>
      <c r="C164" s="2">
        <v>44663</v>
      </c>
      <c r="D164" s="6">
        <v>77.08</v>
      </c>
      <c r="E164" s="6">
        <v>92.49</v>
      </c>
      <c r="F164" s="1" t="s">
        <v>504</v>
      </c>
      <c r="G164" s="1" t="s">
        <v>3409</v>
      </c>
      <c r="H164" s="1" t="s">
        <v>1107</v>
      </c>
      <c r="I164" s="22" t="s">
        <v>3410</v>
      </c>
      <c r="J164" s="1" t="s">
        <v>3609</v>
      </c>
    </row>
    <row r="165" spans="1:10" x14ac:dyDescent="0.25">
      <c r="A165" s="1" t="s">
        <v>4113</v>
      </c>
      <c r="B165" s="1" t="s">
        <v>3610</v>
      </c>
      <c r="C165" s="2">
        <v>44665</v>
      </c>
      <c r="D165" s="6">
        <v>5608.47</v>
      </c>
      <c r="E165" s="6">
        <v>6730.16</v>
      </c>
      <c r="F165" s="1" t="s">
        <v>475</v>
      </c>
      <c r="G165" s="1" t="s">
        <v>3411</v>
      </c>
      <c r="H165" s="1" t="s">
        <v>1115</v>
      </c>
      <c r="I165" s="22" t="s">
        <v>3412</v>
      </c>
      <c r="J165" s="1" t="s">
        <v>3611</v>
      </c>
    </row>
    <row r="166" spans="1:10" x14ac:dyDescent="0.25">
      <c r="A166" s="1" t="s">
        <v>4114</v>
      </c>
      <c r="B166" s="1" t="s">
        <v>3612</v>
      </c>
      <c r="C166" s="2">
        <v>44671</v>
      </c>
      <c r="D166" s="6">
        <v>3588.33</v>
      </c>
      <c r="E166" s="6">
        <v>4306</v>
      </c>
      <c r="F166" s="1" t="s">
        <v>468</v>
      </c>
      <c r="G166" s="1" t="s">
        <v>3398</v>
      </c>
      <c r="H166" s="1" t="s">
        <v>1098</v>
      </c>
      <c r="I166" s="22" t="s">
        <v>1189</v>
      </c>
      <c r="J166" s="1" t="s">
        <v>3613</v>
      </c>
    </row>
    <row r="167" spans="1:10" x14ac:dyDescent="0.25">
      <c r="A167" s="1" t="s">
        <v>4115</v>
      </c>
      <c r="B167" s="1" t="s">
        <v>1994</v>
      </c>
      <c r="C167" s="2">
        <v>44575</v>
      </c>
      <c r="D167" s="6">
        <v>54456.67</v>
      </c>
      <c r="E167" s="6">
        <v>65348</v>
      </c>
      <c r="F167" s="1" t="s">
        <v>475</v>
      </c>
      <c r="G167" s="1" t="s">
        <v>3411</v>
      </c>
      <c r="H167" s="1" t="s">
        <v>1115</v>
      </c>
      <c r="I167" s="22" t="s">
        <v>3412</v>
      </c>
      <c r="J167" s="1" t="s">
        <v>3614</v>
      </c>
    </row>
    <row r="168" spans="1:10" x14ac:dyDescent="0.25">
      <c r="A168" s="1" t="s">
        <v>4116</v>
      </c>
      <c r="B168" s="1" t="s">
        <v>1994</v>
      </c>
      <c r="C168" s="2">
        <v>44606</v>
      </c>
      <c r="D168" s="6">
        <v>44866.67</v>
      </c>
      <c r="E168" s="6">
        <v>53840</v>
      </c>
      <c r="F168" s="1" t="s">
        <v>475</v>
      </c>
      <c r="G168" s="1" t="s">
        <v>3411</v>
      </c>
      <c r="H168" s="1" t="s">
        <v>1115</v>
      </c>
      <c r="I168" s="22" t="s">
        <v>3412</v>
      </c>
      <c r="J168" s="1" t="s">
        <v>3615</v>
      </c>
    </row>
    <row r="169" spans="1:10" x14ac:dyDescent="0.25">
      <c r="A169" s="1" t="s">
        <v>4117</v>
      </c>
      <c r="B169" s="1" t="s">
        <v>1994</v>
      </c>
      <c r="C169" s="2">
        <v>44630</v>
      </c>
      <c r="D169" s="6">
        <v>43318.34</v>
      </c>
      <c r="E169" s="6">
        <v>51982</v>
      </c>
      <c r="F169" s="1" t="s">
        <v>475</v>
      </c>
      <c r="G169" s="1" t="s">
        <v>3411</v>
      </c>
      <c r="H169" s="1" t="s">
        <v>1115</v>
      </c>
      <c r="I169" s="22" t="s">
        <v>3412</v>
      </c>
      <c r="J169" s="1" t="s">
        <v>3616</v>
      </c>
    </row>
    <row r="170" spans="1:10" x14ac:dyDescent="0.25">
      <c r="A170" s="1" t="s">
        <v>4118</v>
      </c>
      <c r="B170" s="1" t="s">
        <v>1994</v>
      </c>
      <c r="C170" s="2">
        <v>44679</v>
      </c>
      <c r="D170" s="6">
        <v>27848.34</v>
      </c>
      <c r="E170" s="6">
        <v>33418</v>
      </c>
      <c r="F170" s="1" t="s">
        <v>475</v>
      </c>
      <c r="G170" s="1" t="s">
        <v>3411</v>
      </c>
      <c r="H170" s="1" t="s">
        <v>1115</v>
      </c>
      <c r="I170" s="22" t="s">
        <v>3412</v>
      </c>
      <c r="J170" s="1" t="s">
        <v>3617</v>
      </c>
    </row>
    <row r="171" spans="1:10" x14ac:dyDescent="0.25">
      <c r="A171" s="1" t="s">
        <v>4119</v>
      </c>
      <c r="B171" s="1" t="s">
        <v>3618</v>
      </c>
      <c r="C171" s="2">
        <v>44664</v>
      </c>
      <c r="D171" s="6">
        <v>227.72</v>
      </c>
      <c r="E171" s="6">
        <v>273.26</v>
      </c>
      <c r="F171" s="1" t="s">
        <v>468</v>
      </c>
      <c r="G171" s="1" t="s">
        <v>3398</v>
      </c>
      <c r="H171" s="1" t="s">
        <v>1098</v>
      </c>
      <c r="I171" s="22" t="s">
        <v>1189</v>
      </c>
      <c r="J171" s="1" t="s">
        <v>3619</v>
      </c>
    </row>
    <row r="172" spans="1:10" x14ac:dyDescent="0.25">
      <c r="A172" s="1" t="s">
        <v>4120</v>
      </c>
      <c r="B172" s="1" t="s">
        <v>3600</v>
      </c>
      <c r="C172" s="2">
        <v>44664</v>
      </c>
      <c r="D172" s="6">
        <v>91.05</v>
      </c>
      <c r="E172" s="6">
        <v>109.26</v>
      </c>
      <c r="F172" s="1" t="s">
        <v>468</v>
      </c>
      <c r="G172" s="1" t="s">
        <v>3398</v>
      </c>
      <c r="H172" s="1" t="s">
        <v>1098</v>
      </c>
      <c r="I172" s="22" t="s">
        <v>1189</v>
      </c>
      <c r="J172" s="1" t="s">
        <v>2567</v>
      </c>
    </row>
    <row r="173" spans="1:10" x14ac:dyDescent="0.25">
      <c r="A173" s="1" t="s">
        <v>4121</v>
      </c>
      <c r="B173" s="1" t="s">
        <v>3620</v>
      </c>
      <c r="C173" s="2">
        <v>44664</v>
      </c>
      <c r="D173" s="6">
        <v>920.83</v>
      </c>
      <c r="E173" s="6">
        <v>1105</v>
      </c>
      <c r="F173" s="1" t="s">
        <v>468</v>
      </c>
      <c r="G173" s="1" t="s">
        <v>3398</v>
      </c>
      <c r="H173" s="1" t="s">
        <v>1098</v>
      </c>
      <c r="I173" s="22" t="s">
        <v>1189</v>
      </c>
      <c r="J173" s="1" t="s">
        <v>3621</v>
      </c>
    </row>
    <row r="174" spans="1:10" x14ac:dyDescent="0.25">
      <c r="A174" s="1" t="s">
        <v>4122</v>
      </c>
      <c r="B174" s="1" t="s">
        <v>3622</v>
      </c>
      <c r="C174" s="2">
        <v>44664</v>
      </c>
      <c r="D174" s="6">
        <v>3140.57</v>
      </c>
      <c r="E174" s="6">
        <v>3768.69</v>
      </c>
      <c r="F174" s="1" t="s">
        <v>468</v>
      </c>
      <c r="G174" s="1" t="s">
        <v>3398</v>
      </c>
      <c r="H174" s="1" t="s">
        <v>1098</v>
      </c>
      <c r="I174" s="22" t="s">
        <v>1189</v>
      </c>
      <c r="J174" s="1" t="s">
        <v>3623</v>
      </c>
    </row>
    <row r="175" spans="1:10" x14ac:dyDescent="0.25">
      <c r="A175" s="1" t="s">
        <v>4123</v>
      </c>
      <c r="B175" s="1" t="s">
        <v>3624</v>
      </c>
      <c r="C175" s="2">
        <v>44678</v>
      </c>
      <c r="D175" s="6">
        <v>1410</v>
      </c>
      <c r="E175" s="6">
        <v>282</v>
      </c>
      <c r="F175" s="1" t="s">
        <v>3472</v>
      </c>
      <c r="G175" s="1" t="s">
        <v>3473</v>
      </c>
      <c r="H175" s="1" t="s">
        <v>1155</v>
      </c>
      <c r="I175" s="22" t="s">
        <v>3625</v>
      </c>
      <c r="J175" s="1" t="s">
        <v>3626</v>
      </c>
    </row>
    <row r="176" spans="1:10" x14ac:dyDescent="0.25">
      <c r="A176" s="1" t="s">
        <v>4124</v>
      </c>
      <c r="B176" s="1" t="s">
        <v>3629</v>
      </c>
      <c r="C176" s="2">
        <v>44679</v>
      </c>
      <c r="D176" s="6">
        <v>74</v>
      </c>
      <c r="E176" s="6">
        <v>88.8</v>
      </c>
      <c r="F176" s="1" t="s">
        <v>470</v>
      </c>
      <c r="G176" s="14" t="s">
        <v>3399</v>
      </c>
      <c r="H176" s="1" t="s">
        <v>3556</v>
      </c>
      <c r="I176" s="22" t="s">
        <v>3400</v>
      </c>
      <c r="J176" s="1" t="s">
        <v>982</v>
      </c>
    </row>
    <row r="177" spans="1:10" x14ac:dyDescent="0.25">
      <c r="A177" s="1" t="s">
        <v>4125</v>
      </c>
      <c r="B177" s="1" t="s">
        <v>3630</v>
      </c>
      <c r="C177" s="2">
        <v>44690</v>
      </c>
      <c r="D177" s="6">
        <v>264</v>
      </c>
      <c r="E177" s="6">
        <v>316.88</v>
      </c>
      <c r="F177" s="1" t="s">
        <v>488</v>
      </c>
      <c r="G177" s="14" t="s">
        <v>3446</v>
      </c>
      <c r="H177" s="1" t="s">
        <v>1137</v>
      </c>
      <c r="I177" s="22" t="s">
        <v>3447</v>
      </c>
      <c r="J177" s="1" t="s">
        <v>3631</v>
      </c>
    </row>
    <row r="178" spans="1:10" x14ac:dyDescent="0.25">
      <c r="A178" s="1" t="s">
        <v>4126</v>
      </c>
      <c r="B178" s="1" t="s">
        <v>3632</v>
      </c>
      <c r="C178" s="2">
        <v>44686</v>
      </c>
      <c r="D178" s="6">
        <v>165.96</v>
      </c>
      <c r="E178" s="6">
        <v>199.15</v>
      </c>
      <c r="F178" s="1" t="s">
        <v>466</v>
      </c>
      <c r="G178" s="14" t="s">
        <v>3406</v>
      </c>
      <c r="H178" s="1" t="s">
        <v>1105</v>
      </c>
      <c r="I178" s="22" t="s">
        <v>3405</v>
      </c>
      <c r="J178" s="1" t="s">
        <v>3633</v>
      </c>
    </row>
    <row r="179" spans="1:10" x14ac:dyDescent="0.25">
      <c r="A179" s="1" t="s">
        <v>4127</v>
      </c>
      <c r="B179" s="1" t="s">
        <v>3634</v>
      </c>
      <c r="C179" s="2">
        <v>44685</v>
      </c>
      <c r="D179" s="6">
        <v>1680</v>
      </c>
      <c r="E179" s="6">
        <v>2016</v>
      </c>
      <c r="F179" s="1" t="s">
        <v>2597</v>
      </c>
      <c r="G179" s="14" t="s">
        <v>3401</v>
      </c>
      <c r="H179" s="1" t="s">
        <v>2598</v>
      </c>
      <c r="I179" s="22" t="s">
        <v>3402</v>
      </c>
      <c r="J179" s="1" t="s">
        <v>3635</v>
      </c>
    </row>
    <row r="180" spans="1:10" x14ac:dyDescent="0.25">
      <c r="A180" s="1" t="s">
        <v>4128</v>
      </c>
      <c r="B180" s="1" t="s">
        <v>3636</v>
      </c>
      <c r="C180" s="2">
        <v>44686</v>
      </c>
      <c r="D180" s="6">
        <v>18.5</v>
      </c>
      <c r="E180" s="6">
        <v>22.2</v>
      </c>
      <c r="F180" s="1" t="s">
        <v>470</v>
      </c>
      <c r="G180" s="14" t="s">
        <v>3399</v>
      </c>
      <c r="H180" s="1" t="s">
        <v>1101</v>
      </c>
      <c r="I180" s="22" t="s">
        <v>3400</v>
      </c>
      <c r="J180" s="1" t="s">
        <v>982</v>
      </c>
    </row>
    <row r="181" spans="1:10" x14ac:dyDescent="0.25">
      <c r="A181" s="1" t="s">
        <v>4129</v>
      </c>
      <c r="B181" s="1" t="s">
        <v>3637</v>
      </c>
      <c r="C181" s="2">
        <v>44685</v>
      </c>
      <c r="D181" s="6">
        <v>55.5</v>
      </c>
      <c r="E181" s="6">
        <v>66.599999999999994</v>
      </c>
      <c r="F181" s="1" t="s">
        <v>470</v>
      </c>
      <c r="G181" s="14" t="s">
        <v>3399</v>
      </c>
      <c r="H181" s="1" t="s">
        <v>1101</v>
      </c>
      <c r="I181" s="22" t="s">
        <v>3400</v>
      </c>
      <c r="J181" s="1" t="s">
        <v>982</v>
      </c>
    </row>
    <row r="182" spans="1:10" x14ac:dyDescent="0.25">
      <c r="A182" s="1" t="s">
        <v>4130</v>
      </c>
      <c r="B182" s="1" t="s">
        <v>3638</v>
      </c>
      <c r="C182" s="2">
        <v>44681</v>
      </c>
      <c r="D182" s="6">
        <v>18949</v>
      </c>
      <c r="E182" s="6">
        <v>22738.799999999999</v>
      </c>
      <c r="F182" s="1" t="s">
        <v>468</v>
      </c>
      <c r="G182" s="14" t="s">
        <v>3398</v>
      </c>
      <c r="H182" s="1" t="s">
        <v>1098</v>
      </c>
      <c r="I182" s="22" t="s">
        <v>1189</v>
      </c>
      <c r="J182" s="1" t="s">
        <v>3639</v>
      </c>
    </row>
    <row r="183" spans="1:10" x14ac:dyDescent="0.25">
      <c r="A183" s="1" t="s">
        <v>4131</v>
      </c>
      <c r="B183" s="1" t="s">
        <v>3640</v>
      </c>
      <c r="C183" s="2">
        <v>44683</v>
      </c>
      <c r="D183" s="6">
        <v>2064.4699999999998</v>
      </c>
      <c r="E183" s="6">
        <v>2477.36</v>
      </c>
      <c r="F183" s="1" t="s">
        <v>470</v>
      </c>
      <c r="G183" s="14" t="s">
        <v>3399</v>
      </c>
      <c r="H183" s="1" t="s">
        <v>1101</v>
      </c>
      <c r="I183" s="22" t="s">
        <v>3641</v>
      </c>
      <c r="J183" s="1" t="s">
        <v>3642</v>
      </c>
    </row>
    <row r="184" spans="1:10" ht="14.25" customHeight="1" x14ac:dyDescent="0.25">
      <c r="A184" s="1" t="s">
        <v>4132</v>
      </c>
      <c r="B184" s="1" t="s">
        <v>3643</v>
      </c>
      <c r="C184" s="2">
        <v>44690</v>
      </c>
      <c r="D184" s="6"/>
      <c r="E184" s="6">
        <v>108.93</v>
      </c>
      <c r="F184" s="1" t="s">
        <v>470</v>
      </c>
      <c r="G184" s="14" t="s">
        <v>3399</v>
      </c>
      <c r="H184" s="1" t="s">
        <v>1101</v>
      </c>
      <c r="I184" s="22" t="s">
        <v>3641</v>
      </c>
      <c r="J184" s="1" t="s">
        <v>3644</v>
      </c>
    </row>
    <row r="185" spans="1:10" ht="14.25" customHeight="1" x14ac:dyDescent="0.25">
      <c r="A185" s="1" t="s">
        <v>4133</v>
      </c>
      <c r="B185" s="1" t="s">
        <v>3645</v>
      </c>
      <c r="C185" s="2">
        <v>44690</v>
      </c>
      <c r="D185" s="6"/>
      <c r="E185" s="6">
        <v>26.24</v>
      </c>
      <c r="F185" s="1" t="s">
        <v>468</v>
      </c>
      <c r="G185" s="14" t="s">
        <v>3398</v>
      </c>
      <c r="H185" s="1" t="s">
        <v>1098</v>
      </c>
      <c r="I185" s="22" t="s">
        <v>1189</v>
      </c>
      <c r="J185" s="1" t="s">
        <v>3646</v>
      </c>
    </row>
    <row r="186" spans="1:10" ht="14.25" customHeight="1" x14ac:dyDescent="0.25">
      <c r="A186" s="1" t="s">
        <v>4134</v>
      </c>
      <c r="B186" s="1" t="s">
        <v>3647</v>
      </c>
      <c r="C186" s="2">
        <v>44690</v>
      </c>
      <c r="D186" s="6">
        <v>12682.5</v>
      </c>
      <c r="E186" s="6">
        <v>15219</v>
      </c>
      <c r="F186" s="1" t="s">
        <v>468</v>
      </c>
      <c r="G186" s="14" t="s">
        <v>3398</v>
      </c>
      <c r="H186" s="1" t="s">
        <v>1098</v>
      </c>
      <c r="I186" s="22" t="s">
        <v>1189</v>
      </c>
      <c r="J186" s="1" t="s">
        <v>3648</v>
      </c>
    </row>
    <row r="187" spans="1:10" ht="14.25" customHeight="1" x14ac:dyDescent="0.25">
      <c r="A187" s="1" t="s">
        <v>4135</v>
      </c>
      <c r="B187" s="1" t="s">
        <v>3649</v>
      </c>
      <c r="C187" s="2">
        <v>44690</v>
      </c>
      <c r="D187" s="6">
        <v>2938.33</v>
      </c>
      <c r="E187" s="6">
        <v>587.66999999999996</v>
      </c>
      <c r="F187" s="1" t="s">
        <v>468</v>
      </c>
      <c r="G187" s="14" t="s">
        <v>3398</v>
      </c>
      <c r="H187" s="1" t="s">
        <v>1098</v>
      </c>
      <c r="I187" s="22" t="s">
        <v>1189</v>
      </c>
      <c r="J187" s="1" t="s">
        <v>3650</v>
      </c>
    </row>
    <row r="188" spans="1:10" ht="14.25" customHeight="1" x14ac:dyDescent="0.25">
      <c r="A188" s="1" t="s">
        <v>4136</v>
      </c>
      <c r="B188" s="1" t="s">
        <v>3651</v>
      </c>
      <c r="C188" s="2">
        <v>44691</v>
      </c>
      <c r="D188" s="6">
        <v>1593.77</v>
      </c>
      <c r="E188" s="6">
        <v>318.75</v>
      </c>
      <c r="F188" s="1" t="s">
        <v>468</v>
      </c>
      <c r="G188" s="14" t="s">
        <v>3398</v>
      </c>
      <c r="H188" s="1" t="s">
        <v>1098</v>
      </c>
      <c r="I188" s="22" t="s">
        <v>1189</v>
      </c>
      <c r="J188" s="1" t="s">
        <v>3652</v>
      </c>
    </row>
    <row r="189" spans="1:10" ht="14.25" customHeight="1" x14ac:dyDescent="0.25">
      <c r="A189" s="1" t="s">
        <v>4137</v>
      </c>
      <c r="B189" s="1" t="s">
        <v>3653</v>
      </c>
      <c r="C189" s="2">
        <v>44692</v>
      </c>
      <c r="D189" s="6"/>
      <c r="E189" s="6">
        <v>-636.87</v>
      </c>
      <c r="F189" s="1" t="s">
        <v>471</v>
      </c>
      <c r="G189" s="14" t="s">
        <v>3413</v>
      </c>
      <c r="H189" s="1" t="s">
        <v>1103</v>
      </c>
      <c r="I189" s="22" t="s">
        <v>3414</v>
      </c>
      <c r="J189" s="1" t="s">
        <v>3584</v>
      </c>
    </row>
    <row r="190" spans="1:10" ht="14.25" customHeight="1" x14ac:dyDescent="0.25">
      <c r="A190" s="1" t="s">
        <v>4138</v>
      </c>
      <c r="B190" s="1" t="s">
        <v>3654</v>
      </c>
      <c r="C190" s="2">
        <v>44693</v>
      </c>
      <c r="D190" s="6">
        <v>380.92</v>
      </c>
      <c r="E190" s="6">
        <v>457.1</v>
      </c>
      <c r="F190" s="1" t="s">
        <v>3655</v>
      </c>
      <c r="G190" s="14" t="s">
        <v>3656</v>
      </c>
      <c r="H190" s="1" t="s">
        <v>1140</v>
      </c>
      <c r="I190" s="22"/>
      <c r="J190" s="1" t="s">
        <v>3657</v>
      </c>
    </row>
    <row r="191" spans="1:10" ht="14.25" customHeight="1" x14ac:dyDescent="0.25">
      <c r="A191" s="1" t="s">
        <v>4139</v>
      </c>
      <c r="B191" s="1" t="s">
        <v>3658</v>
      </c>
      <c r="C191" s="2">
        <v>44693</v>
      </c>
      <c r="D191" s="6"/>
      <c r="E191" s="6">
        <v>936</v>
      </c>
      <c r="F191" s="1" t="s">
        <v>473</v>
      </c>
      <c r="G191" s="14" t="s">
        <v>3403</v>
      </c>
      <c r="H191" s="1" t="s">
        <v>3658</v>
      </c>
      <c r="I191" s="22" t="s">
        <v>3404</v>
      </c>
      <c r="J191" s="1" t="s">
        <v>3659</v>
      </c>
    </row>
    <row r="192" spans="1:10" ht="14.25" customHeight="1" x14ac:dyDescent="0.25">
      <c r="A192" s="1" t="s">
        <v>4140</v>
      </c>
      <c r="B192" s="1" t="s">
        <v>3660</v>
      </c>
      <c r="C192" s="2">
        <v>44697</v>
      </c>
      <c r="D192" s="6"/>
      <c r="E192" s="6">
        <v>-166.45</v>
      </c>
      <c r="F192" s="1" t="s">
        <v>504</v>
      </c>
      <c r="G192" s="14" t="s">
        <v>3409</v>
      </c>
      <c r="H192" s="1" t="s">
        <v>3660</v>
      </c>
      <c r="I192" s="22" t="s">
        <v>3410</v>
      </c>
      <c r="J192" s="1" t="s">
        <v>3661</v>
      </c>
    </row>
    <row r="193" spans="1:10" ht="14.25" customHeight="1" x14ac:dyDescent="0.25">
      <c r="A193" s="1" t="s">
        <v>4141</v>
      </c>
      <c r="B193" s="1" t="s">
        <v>3662</v>
      </c>
      <c r="C193" s="2">
        <v>44697</v>
      </c>
      <c r="D193" s="6">
        <v>969</v>
      </c>
      <c r="E193" s="6">
        <v>1162.8</v>
      </c>
      <c r="F193" s="1" t="s">
        <v>470</v>
      </c>
      <c r="G193" s="14" t="s">
        <v>3663</v>
      </c>
      <c r="H193" s="1" t="s">
        <v>1101</v>
      </c>
      <c r="I193" s="22" t="s">
        <v>3400</v>
      </c>
      <c r="J193" s="1" t="s">
        <v>982</v>
      </c>
    </row>
    <row r="194" spans="1:10" x14ac:dyDescent="0.25">
      <c r="A194" s="1" t="s">
        <v>4142</v>
      </c>
      <c r="B194" s="1" t="s">
        <v>3664</v>
      </c>
      <c r="C194" s="2">
        <v>44697</v>
      </c>
      <c r="D194" s="6">
        <v>363.5</v>
      </c>
      <c r="E194" s="6">
        <v>436.2</v>
      </c>
      <c r="F194" s="1" t="s">
        <v>470</v>
      </c>
      <c r="G194" s="14" t="s">
        <v>3663</v>
      </c>
      <c r="H194" s="1" t="s">
        <v>1101</v>
      </c>
      <c r="I194" s="22" t="s">
        <v>3400</v>
      </c>
      <c r="J194" s="1" t="s">
        <v>982</v>
      </c>
    </row>
    <row r="195" spans="1:10" x14ac:dyDescent="0.25">
      <c r="A195" s="1" t="s">
        <v>4143</v>
      </c>
      <c r="B195" s="1" t="s">
        <v>3703</v>
      </c>
      <c r="C195" s="2">
        <v>44651</v>
      </c>
      <c r="D195" s="6"/>
      <c r="E195" s="6">
        <v>65348</v>
      </c>
      <c r="F195" s="1" t="s">
        <v>475</v>
      </c>
      <c r="G195" s="14" t="s">
        <v>3411</v>
      </c>
      <c r="H195" s="1" t="s">
        <v>1115</v>
      </c>
      <c r="I195" s="22" t="s">
        <v>3412</v>
      </c>
      <c r="J195" s="1" t="s">
        <v>3704</v>
      </c>
    </row>
    <row r="196" spans="1:10" x14ac:dyDescent="0.25">
      <c r="A196" s="1" t="s">
        <v>4144</v>
      </c>
      <c r="B196" s="1" t="s">
        <v>3705</v>
      </c>
      <c r="C196" s="2">
        <v>44651</v>
      </c>
      <c r="D196" s="6"/>
      <c r="E196" s="6">
        <v>53840</v>
      </c>
      <c r="F196" s="1" t="s">
        <v>475</v>
      </c>
      <c r="G196" s="14" t="s">
        <v>3411</v>
      </c>
      <c r="H196" s="1" t="s">
        <v>1115</v>
      </c>
      <c r="I196" s="22" t="s">
        <v>3412</v>
      </c>
      <c r="J196" s="1" t="s">
        <v>3704</v>
      </c>
    </row>
    <row r="197" spans="1:10" x14ac:dyDescent="0.25">
      <c r="A197" s="1" t="s">
        <v>4145</v>
      </c>
      <c r="B197" s="1" t="s">
        <v>3706</v>
      </c>
      <c r="C197" s="2">
        <v>44651</v>
      </c>
      <c r="D197" s="6"/>
      <c r="E197" s="6">
        <v>51982</v>
      </c>
      <c r="F197" s="1" t="s">
        <v>475</v>
      </c>
      <c r="G197" s="14" t="s">
        <v>3411</v>
      </c>
      <c r="H197" s="1" t="s">
        <v>1115</v>
      </c>
      <c r="I197" s="22" t="s">
        <v>3412</v>
      </c>
      <c r="J197" s="1" t="s">
        <v>3704</v>
      </c>
    </row>
    <row r="198" spans="1:10" x14ac:dyDescent="0.25">
      <c r="A198" s="1" t="s">
        <v>4146</v>
      </c>
      <c r="B198" s="1" t="s">
        <v>3707</v>
      </c>
      <c r="C198" s="2">
        <v>44679</v>
      </c>
      <c r="D198" s="6"/>
      <c r="E198" s="6">
        <v>33418</v>
      </c>
      <c r="F198" s="1" t="s">
        <v>475</v>
      </c>
      <c r="G198" s="14" t="s">
        <v>3411</v>
      </c>
      <c r="H198" s="1" t="s">
        <v>1115</v>
      </c>
      <c r="I198" s="22" t="s">
        <v>3412</v>
      </c>
      <c r="J198" s="1" t="s">
        <v>3704</v>
      </c>
    </row>
    <row r="199" spans="1:10" x14ac:dyDescent="0.25">
      <c r="A199" s="1" t="s">
        <v>4147</v>
      </c>
      <c r="B199" s="1" t="s">
        <v>3708</v>
      </c>
      <c r="C199" s="2">
        <v>44686</v>
      </c>
      <c r="D199" s="6"/>
      <c r="E199" s="6">
        <v>7425</v>
      </c>
      <c r="F199" s="1" t="s">
        <v>475</v>
      </c>
      <c r="G199" s="14" t="s">
        <v>3411</v>
      </c>
      <c r="H199" s="1" t="s">
        <v>1115</v>
      </c>
      <c r="I199" s="22" t="s">
        <v>3412</v>
      </c>
      <c r="J199" s="1" t="s">
        <v>3704</v>
      </c>
    </row>
    <row r="200" spans="1:10" x14ac:dyDescent="0.25">
      <c r="A200" s="1" t="s">
        <v>4148</v>
      </c>
      <c r="B200" s="1" t="s">
        <v>3340</v>
      </c>
      <c r="C200" s="2">
        <v>44607</v>
      </c>
      <c r="D200" s="6"/>
      <c r="E200" s="6">
        <v>2837.59</v>
      </c>
      <c r="F200" s="1" t="s">
        <v>475</v>
      </c>
      <c r="G200" s="14" t="s">
        <v>3411</v>
      </c>
      <c r="H200" s="1" t="s">
        <v>1115</v>
      </c>
      <c r="I200" s="22" t="s">
        <v>3412</v>
      </c>
      <c r="J200" s="1" t="s">
        <v>3704</v>
      </c>
    </row>
    <row r="201" spans="1:10" x14ac:dyDescent="0.25">
      <c r="A201" s="1" t="s">
        <v>4149</v>
      </c>
      <c r="B201" s="1" t="s">
        <v>3493</v>
      </c>
      <c r="C201" s="2">
        <v>44638</v>
      </c>
      <c r="D201" s="6"/>
      <c r="E201" s="6">
        <v>4522.8</v>
      </c>
      <c r="F201" s="1" t="s">
        <v>475</v>
      </c>
      <c r="G201" s="14" t="s">
        <v>3411</v>
      </c>
      <c r="H201" s="1" t="s">
        <v>1115</v>
      </c>
      <c r="I201" s="22" t="s">
        <v>3412</v>
      </c>
      <c r="J201" s="1" t="s">
        <v>3704</v>
      </c>
    </row>
    <row r="202" spans="1:10" x14ac:dyDescent="0.25">
      <c r="A202" s="1" t="s">
        <v>4150</v>
      </c>
      <c r="B202" s="1" t="s">
        <v>3493</v>
      </c>
      <c r="C202" s="2">
        <v>44665</v>
      </c>
      <c r="D202" s="6"/>
      <c r="E202" s="6">
        <v>6730.16</v>
      </c>
      <c r="F202" s="1" t="s">
        <v>475</v>
      </c>
      <c r="G202" s="14" t="s">
        <v>3411</v>
      </c>
      <c r="H202" s="1" t="s">
        <v>1115</v>
      </c>
      <c r="I202" s="22" t="s">
        <v>3412</v>
      </c>
      <c r="J202" s="1" t="s">
        <v>3704</v>
      </c>
    </row>
    <row r="203" spans="1:10" x14ac:dyDescent="0.25">
      <c r="A203" s="1" t="s">
        <v>4151</v>
      </c>
      <c r="B203" s="1" t="s">
        <v>3665</v>
      </c>
      <c r="C203" s="2">
        <v>44693</v>
      </c>
      <c r="D203" s="6"/>
      <c r="E203" s="6">
        <v>18247.669999999998</v>
      </c>
      <c r="F203" s="1" t="s">
        <v>475</v>
      </c>
      <c r="G203" s="14" t="s">
        <v>3411</v>
      </c>
      <c r="H203" s="1" t="s">
        <v>1115</v>
      </c>
      <c r="I203" s="22" t="s">
        <v>3412</v>
      </c>
      <c r="J203" s="1" t="s">
        <v>3704</v>
      </c>
    </row>
    <row r="204" spans="1:10" x14ac:dyDescent="0.25">
      <c r="A204" s="1" t="s">
        <v>4152</v>
      </c>
      <c r="B204" s="1" t="s">
        <v>3666</v>
      </c>
      <c r="C204" s="2">
        <v>44697</v>
      </c>
      <c r="D204" s="6"/>
      <c r="E204" s="6">
        <v>60.9</v>
      </c>
      <c r="F204" s="1" t="s">
        <v>467</v>
      </c>
      <c r="G204" s="14" t="s">
        <v>3397</v>
      </c>
      <c r="H204" s="1" t="s">
        <v>1099</v>
      </c>
      <c r="I204" s="22" t="s">
        <v>1117</v>
      </c>
      <c r="J204" s="1" t="s">
        <v>3667</v>
      </c>
    </row>
    <row r="205" spans="1:10" x14ac:dyDescent="0.25">
      <c r="A205" s="1" t="s">
        <v>4153</v>
      </c>
      <c r="B205" s="1" t="s">
        <v>3668</v>
      </c>
      <c r="C205" s="2">
        <v>44698</v>
      </c>
      <c r="D205" s="6">
        <v>210</v>
      </c>
      <c r="E205" s="6">
        <v>252</v>
      </c>
      <c r="F205" s="1" t="s">
        <v>470</v>
      </c>
      <c r="G205" s="14" t="s">
        <v>3663</v>
      </c>
      <c r="H205" s="1" t="s">
        <v>1101</v>
      </c>
      <c r="I205" s="22" t="s">
        <v>3400</v>
      </c>
      <c r="J205" s="1" t="s">
        <v>982</v>
      </c>
    </row>
    <row r="206" spans="1:10" x14ac:dyDescent="0.25">
      <c r="A206" s="1" t="s">
        <v>4154</v>
      </c>
      <c r="B206" s="1" t="s">
        <v>3669</v>
      </c>
      <c r="C206" s="2">
        <v>44698</v>
      </c>
      <c r="D206" s="6">
        <v>249</v>
      </c>
      <c r="E206" s="6">
        <v>298.8</v>
      </c>
      <c r="F206" s="1" t="s">
        <v>470</v>
      </c>
      <c r="G206" s="14" t="s">
        <v>3663</v>
      </c>
      <c r="H206" s="1" t="s">
        <v>1101</v>
      </c>
      <c r="I206" s="22" t="s">
        <v>3400</v>
      </c>
      <c r="J206" s="1" t="s">
        <v>982</v>
      </c>
    </row>
    <row r="207" spans="1:10" x14ac:dyDescent="0.25">
      <c r="A207" s="1" t="s">
        <v>4155</v>
      </c>
      <c r="B207" s="1" t="s">
        <v>3670</v>
      </c>
      <c r="C207" s="2">
        <v>44698</v>
      </c>
      <c r="D207" s="6">
        <v>210</v>
      </c>
      <c r="E207" s="6">
        <v>252</v>
      </c>
      <c r="F207" s="1" t="s">
        <v>470</v>
      </c>
      <c r="G207" s="14" t="s">
        <v>3663</v>
      </c>
      <c r="H207" s="1" t="s">
        <v>1101</v>
      </c>
      <c r="I207" s="22" t="s">
        <v>3400</v>
      </c>
      <c r="J207" s="1" t="s">
        <v>982</v>
      </c>
    </row>
    <row r="208" spans="1:10" x14ac:dyDescent="0.25">
      <c r="A208" s="1" t="s">
        <v>4156</v>
      </c>
      <c r="B208" s="1" t="s">
        <v>3671</v>
      </c>
      <c r="C208" s="2">
        <v>44698</v>
      </c>
      <c r="D208" s="6">
        <v>249</v>
      </c>
      <c r="E208" s="6">
        <v>298.8</v>
      </c>
      <c r="F208" s="1" t="s">
        <v>470</v>
      </c>
      <c r="G208" s="14" t="s">
        <v>3663</v>
      </c>
      <c r="H208" s="1" t="s">
        <v>1101</v>
      </c>
      <c r="I208" s="22" t="s">
        <v>3400</v>
      </c>
      <c r="J208" s="1" t="s">
        <v>982</v>
      </c>
    </row>
    <row r="209" spans="1:10" x14ac:dyDescent="0.25">
      <c r="A209" s="1" t="s">
        <v>4157</v>
      </c>
      <c r="B209" s="1" t="s">
        <v>3672</v>
      </c>
      <c r="C209" s="2">
        <v>44698</v>
      </c>
      <c r="D209" s="6">
        <v>210</v>
      </c>
      <c r="E209" s="6">
        <v>252</v>
      </c>
      <c r="F209" s="1" t="s">
        <v>470</v>
      </c>
      <c r="G209" s="14" t="s">
        <v>3663</v>
      </c>
      <c r="H209" s="1" t="s">
        <v>1101</v>
      </c>
      <c r="I209" s="22" t="s">
        <v>3400</v>
      </c>
      <c r="J209" s="1" t="s">
        <v>982</v>
      </c>
    </row>
    <row r="210" spans="1:10" x14ac:dyDescent="0.25">
      <c r="A210" s="1" t="s">
        <v>4158</v>
      </c>
      <c r="B210" s="1" t="s">
        <v>3673</v>
      </c>
      <c r="C210" s="2">
        <v>44698</v>
      </c>
      <c r="D210" s="6">
        <v>27</v>
      </c>
      <c r="E210" s="6">
        <v>32.4</v>
      </c>
      <c r="F210" s="1" t="s">
        <v>470</v>
      </c>
      <c r="G210" s="14" t="s">
        <v>3663</v>
      </c>
      <c r="H210" s="1" t="s">
        <v>1101</v>
      </c>
      <c r="I210" s="22" t="s">
        <v>3400</v>
      </c>
      <c r="J210" s="1" t="s">
        <v>3675</v>
      </c>
    </row>
    <row r="211" spans="1:10" x14ac:dyDescent="0.25">
      <c r="A211" s="1" t="s">
        <v>4159</v>
      </c>
      <c r="B211" s="1" t="s">
        <v>3674</v>
      </c>
      <c r="C211" s="2">
        <v>44698</v>
      </c>
      <c r="D211" s="6">
        <v>9</v>
      </c>
      <c r="E211" s="6">
        <v>10.8</v>
      </c>
      <c r="F211" s="1" t="s">
        <v>470</v>
      </c>
      <c r="G211" s="14" t="s">
        <v>3399</v>
      </c>
      <c r="H211" s="1" t="s">
        <v>1101</v>
      </c>
      <c r="I211" s="22" t="s">
        <v>3400</v>
      </c>
      <c r="J211" s="1" t="s">
        <v>3675</v>
      </c>
    </row>
    <row r="212" spans="1:10" x14ac:dyDescent="0.25">
      <c r="A212" s="1" t="s">
        <v>4160</v>
      </c>
      <c r="B212" s="1" t="s">
        <v>3676</v>
      </c>
      <c r="C212" s="2">
        <v>44700</v>
      </c>
      <c r="D212" s="6">
        <v>886.2</v>
      </c>
      <c r="E212" s="6">
        <v>1063.5</v>
      </c>
      <c r="F212" s="1" t="s">
        <v>468</v>
      </c>
      <c r="G212" s="14" t="s">
        <v>3398</v>
      </c>
      <c r="H212" s="1" t="s">
        <v>1098</v>
      </c>
      <c r="I212" s="22" t="s">
        <v>1189</v>
      </c>
      <c r="J212" s="1" t="s">
        <v>3386</v>
      </c>
    </row>
    <row r="213" spans="1:10" x14ac:dyDescent="0.25">
      <c r="A213" s="1" t="s">
        <v>4161</v>
      </c>
      <c r="B213" s="1" t="s">
        <v>3677</v>
      </c>
      <c r="C213" s="2">
        <v>44700</v>
      </c>
      <c r="D213" s="6">
        <v>162.6</v>
      </c>
      <c r="E213" s="6">
        <v>195.12</v>
      </c>
      <c r="F213" s="1" t="s">
        <v>468</v>
      </c>
      <c r="G213" s="14" t="s">
        <v>3398</v>
      </c>
      <c r="H213" s="1" t="s">
        <v>1098</v>
      </c>
      <c r="I213" s="22" t="s">
        <v>1189</v>
      </c>
      <c r="J213" s="1" t="s">
        <v>3678</v>
      </c>
    </row>
    <row r="214" spans="1:10" x14ac:dyDescent="0.25">
      <c r="A214" s="1" t="s">
        <v>4162</v>
      </c>
      <c r="B214" s="1" t="s">
        <v>3679</v>
      </c>
      <c r="C214" s="2">
        <v>44700</v>
      </c>
      <c r="D214" s="6">
        <v>567</v>
      </c>
      <c r="E214" s="6">
        <v>680.4</v>
      </c>
      <c r="F214" s="1" t="s">
        <v>468</v>
      </c>
      <c r="G214" s="14" t="s">
        <v>3398</v>
      </c>
      <c r="H214" s="1" t="s">
        <v>1098</v>
      </c>
      <c r="I214" s="22" t="s">
        <v>1189</v>
      </c>
      <c r="J214" s="1" t="s">
        <v>3680</v>
      </c>
    </row>
    <row r="215" spans="1:10" x14ac:dyDescent="0.25">
      <c r="A215" s="1" t="s">
        <v>4163</v>
      </c>
      <c r="B215" s="1" t="s">
        <v>3681</v>
      </c>
      <c r="C215" s="2">
        <v>44700</v>
      </c>
      <c r="D215" s="6">
        <v>167.63</v>
      </c>
      <c r="E215" s="6">
        <v>33.53</v>
      </c>
      <c r="F215" s="1" t="s">
        <v>468</v>
      </c>
      <c r="G215" s="14" t="s">
        <v>3398</v>
      </c>
      <c r="H215" s="1" t="s">
        <v>1098</v>
      </c>
      <c r="I215" s="22" t="s">
        <v>1189</v>
      </c>
      <c r="J215" s="1" t="s">
        <v>3682</v>
      </c>
    </row>
    <row r="216" spans="1:10" x14ac:dyDescent="0.25">
      <c r="A216" s="1" t="s">
        <v>4164</v>
      </c>
      <c r="B216" s="1" t="s">
        <v>3683</v>
      </c>
      <c r="C216" s="2">
        <v>44700</v>
      </c>
      <c r="D216" s="6">
        <v>-380.92</v>
      </c>
      <c r="E216" s="6">
        <v>-457.1</v>
      </c>
      <c r="F216" s="1" t="s">
        <v>3655</v>
      </c>
      <c r="G216" s="14" t="s">
        <v>3656</v>
      </c>
      <c r="H216" s="1" t="s">
        <v>1140</v>
      </c>
      <c r="I216" s="22"/>
      <c r="J216" s="1" t="s">
        <v>3684</v>
      </c>
    </row>
    <row r="217" spans="1:10" x14ac:dyDescent="0.25">
      <c r="A217" s="1" t="s">
        <v>4165</v>
      </c>
      <c r="B217" s="1" t="s">
        <v>3685</v>
      </c>
      <c r="C217" s="2">
        <v>44701</v>
      </c>
      <c r="D217" s="6">
        <v>3741.23</v>
      </c>
      <c r="E217" s="6">
        <v>4489.4799999999996</v>
      </c>
      <c r="F217" s="1" t="s">
        <v>468</v>
      </c>
      <c r="G217" s="14" t="s">
        <v>3398</v>
      </c>
      <c r="H217" s="1" t="s">
        <v>1098</v>
      </c>
      <c r="I217" s="22" t="s">
        <v>1189</v>
      </c>
      <c r="J217" s="1" t="s">
        <v>3686</v>
      </c>
    </row>
    <row r="218" spans="1:10" x14ac:dyDescent="0.25">
      <c r="A218" s="1" t="s">
        <v>4166</v>
      </c>
      <c r="B218" s="1" t="s">
        <v>3687</v>
      </c>
      <c r="C218" s="2">
        <v>44701</v>
      </c>
      <c r="D218" s="6">
        <v>228.55</v>
      </c>
      <c r="E218" s="6">
        <v>274.26</v>
      </c>
      <c r="F218" s="1" t="s">
        <v>468</v>
      </c>
      <c r="G218" s="14" t="s">
        <v>3398</v>
      </c>
      <c r="H218" s="1" t="s">
        <v>1098</v>
      </c>
      <c r="I218" s="22" t="s">
        <v>1189</v>
      </c>
      <c r="J218" s="1" t="s">
        <v>3619</v>
      </c>
    </row>
    <row r="219" spans="1:10" x14ac:dyDescent="0.25">
      <c r="A219" s="1" t="s">
        <v>4167</v>
      </c>
      <c r="B219" s="1" t="s">
        <v>3688</v>
      </c>
      <c r="C219" s="2">
        <v>44704</v>
      </c>
      <c r="D219" s="6">
        <v>364</v>
      </c>
      <c r="E219" s="6">
        <v>436.8</v>
      </c>
      <c r="F219" s="1" t="s">
        <v>3655</v>
      </c>
      <c r="G219" s="14" t="s">
        <v>3656</v>
      </c>
      <c r="H219" s="1" t="s">
        <v>1140</v>
      </c>
      <c r="I219" s="22"/>
      <c r="J219" s="1" t="s">
        <v>3689</v>
      </c>
    </row>
    <row r="220" spans="1:10" x14ac:dyDescent="0.25">
      <c r="A220" s="1" t="s">
        <v>4168</v>
      </c>
      <c r="B220" s="1" t="s">
        <v>3690</v>
      </c>
      <c r="C220" s="2">
        <v>44707</v>
      </c>
      <c r="D220" s="6"/>
      <c r="E220" s="6">
        <v>968</v>
      </c>
      <c r="F220" s="1" t="s">
        <v>469</v>
      </c>
      <c r="G220" s="14" t="s">
        <v>3407</v>
      </c>
      <c r="H220" s="1"/>
      <c r="I220" s="22"/>
      <c r="J220" s="1" t="s">
        <v>3691</v>
      </c>
    </row>
    <row r="221" spans="1:10" x14ac:dyDescent="0.25">
      <c r="A221" s="1" t="s">
        <v>4169</v>
      </c>
      <c r="B221" s="1" t="s">
        <v>3692</v>
      </c>
      <c r="C221" s="2">
        <v>44697</v>
      </c>
      <c r="D221" s="6">
        <v>572</v>
      </c>
      <c r="E221" s="6">
        <v>686.4</v>
      </c>
      <c r="F221" s="1" t="s">
        <v>2374</v>
      </c>
      <c r="G221" s="14" t="s">
        <v>3693</v>
      </c>
      <c r="H221" s="1" t="s">
        <v>3694</v>
      </c>
      <c r="I221" s="22"/>
      <c r="J221" s="1" t="s">
        <v>3695</v>
      </c>
    </row>
    <row r="222" spans="1:10" x14ac:dyDescent="0.25">
      <c r="A222" s="1" t="s">
        <v>4170</v>
      </c>
      <c r="B222" s="1" t="s">
        <v>3696</v>
      </c>
      <c r="C222" s="2">
        <v>44708</v>
      </c>
      <c r="D222" s="6"/>
      <c r="E222" s="6">
        <v>1330.16</v>
      </c>
      <c r="F222" s="1" t="s">
        <v>3562</v>
      </c>
      <c r="G222" s="14" t="s">
        <v>3563</v>
      </c>
      <c r="H222" s="1" t="s">
        <v>1128</v>
      </c>
      <c r="I222" s="22" t="s">
        <v>3628</v>
      </c>
      <c r="J222" s="1" t="s">
        <v>3697</v>
      </c>
    </row>
    <row r="223" spans="1:10" x14ac:dyDescent="0.25">
      <c r="A223" s="1" t="s">
        <v>4171</v>
      </c>
      <c r="B223" s="1" t="s">
        <v>3698</v>
      </c>
      <c r="C223" s="2">
        <v>44708</v>
      </c>
      <c r="D223" s="6"/>
      <c r="E223" s="6">
        <v>150</v>
      </c>
      <c r="F223" s="1" t="s">
        <v>3699</v>
      </c>
      <c r="G223" s="14" t="s">
        <v>3700</v>
      </c>
      <c r="H223" s="1" t="s">
        <v>3701</v>
      </c>
      <c r="I223" s="22"/>
      <c r="J223" s="1" t="s">
        <v>3702</v>
      </c>
    </row>
    <row r="224" spans="1:10" x14ac:dyDescent="0.25">
      <c r="A224" s="1" t="s">
        <v>4172</v>
      </c>
      <c r="B224" s="1" t="s">
        <v>3715</v>
      </c>
      <c r="C224" s="2">
        <v>44711</v>
      </c>
      <c r="D224" s="6">
        <v>43</v>
      </c>
      <c r="E224" s="6">
        <v>51.6</v>
      </c>
      <c r="F224" s="1" t="s">
        <v>468</v>
      </c>
      <c r="G224" s="14" t="s">
        <v>3398</v>
      </c>
      <c r="H224" s="1" t="s">
        <v>1098</v>
      </c>
      <c r="I224" s="22" t="s">
        <v>1189</v>
      </c>
      <c r="J224" s="1" t="s">
        <v>3716</v>
      </c>
    </row>
    <row r="225" spans="1:10" x14ac:dyDescent="0.25">
      <c r="A225" s="1" t="s">
        <v>4173</v>
      </c>
      <c r="B225" s="1" t="s">
        <v>3717</v>
      </c>
      <c r="C225" s="2">
        <v>44711</v>
      </c>
      <c r="D225" s="6">
        <v>-11.51</v>
      </c>
      <c r="E225" s="6">
        <v>-13.81</v>
      </c>
      <c r="F225" s="1" t="s">
        <v>468</v>
      </c>
      <c r="G225" s="14" t="s">
        <v>3398</v>
      </c>
      <c r="H225" s="1" t="s">
        <v>1098</v>
      </c>
      <c r="I225" s="22" t="s">
        <v>1189</v>
      </c>
      <c r="J225" s="1" t="s">
        <v>3682</v>
      </c>
    </row>
    <row r="226" spans="1:10" x14ac:dyDescent="0.25">
      <c r="A226" s="1" t="s">
        <v>4174</v>
      </c>
      <c r="B226" s="1" t="s">
        <v>3718</v>
      </c>
      <c r="C226" s="2">
        <v>44711</v>
      </c>
      <c r="D226" s="6">
        <v>542.97</v>
      </c>
      <c r="E226" s="6">
        <v>651.55999999999995</v>
      </c>
      <c r="F226" s="1" t="s">
        <v>468</v>
      </c>
      <c r="G226" s="14" t="s">
        <v>3398</v>
      </c>
      <c r="H226" s="1" t="s">
        <v>1098</v>
      </c>
      <c r="I226" s="22" t="s">
        <v>1189</v>
      </c>
      <c r="J226" s="1" t="s">
        <v>2567</v>
      </c>
    </row>
    <row r="227" spans="1:10" x14ac:dyDescent="0.25">
      <c r="A227" s="1" t="s">
        <v>4175</v>
      </c>
      <c r="B227" s="1" t="s">
        <v>3719</v>
      </c>
      <c r="C227" s="2">
        <v>44711</v>
      </c>
      <c r="D227" s="6">
        <v>910.03</v>
      </c>
      <c r="E227" s="6">
        <v>1092.04</v>
      </c>
      <c r="F227" s="1" t="s">
        <v>468</v>
      </c>
      <c r="G227" s="14" t="s">
        <v>3398</v>
      </c>
      <c r="H227" s="1" t="s">
        <v>1098</v>
      </c>
      <c r="I227" s="22" t="s">
        <v>1189</v>
      </c>
      <c r="J227" s="1" t="s">
        <v>3720</v>
      </c>
    </row>
    <row r="228" spans="1:10" x14ac:dyDescent="0.25">
      <c r="A228" s="1" t="s">
        <v>4176</v>
      </c>
      <c r="B228" s="1" t="s">
        <v>3721</v>
      </c>
      <c r="C228" s="2">
        <v>44711</v>
      </c>
      <c r="D228" s="6">
        <v>-8.58</v>
      </c>
      <c r="E228" s="6">
        <v>-10.3</v>
      </c>
      <c r="F228" s="1" t="s">
        <v>468</v>
      </c>
      <c r="G228" s="14" t="s">
        <v>3398</v>
      </c>
      <c r="H228" s="1" t="s">
        <v>1098</v>
      </c>
      <c r="I228" s="22" t="s">
        <v>1189</v>
      </c>
      <c r="J228" s="1" t="s">
        <v>3313</v>
      </c>
    </row>
    <row r="229" spans="1:10" x14ac:dyDescent="0.25">
      <c r="A229" s="1" t="s">
        <v>4177</v>
      </c>
      <c r="B229" s="1" t="s">
        <v>3722</v>
      </c>
      <c r="C229" s="2">
        <v>44712</v>
      </c>
      <c r="D229" s="6">
        <v>18930</v>
      </c>
      <c r="E229" s="6">
        <v>22716</v>
      </c>
      <c r="F229" s="1" t="s">
        <v>468</v>
      </c>
      <c r="G229" s="14" t="s">
        <v>3398</v>
      </c>
      <c r="H229" s="1" t="s">
        <v>1098</v>
      </c>
      <c r="I229" s="22" t="s">
        <v>1189</v>
      </c>
      <c r="J229" s="1" t="s">
        <v>3723</v>
      </c>
    </row>
    <row r="230" spans="1:10" x14ac:dyDescent="0.25">
      <c r="A230" s="1" t="s">
        <v>4178</v>
      </c>
      <c r="B230" s="1" t="s">
        <v>3724</v>
      </c>
      <c r="C230" s="2">
        <v>44712</v>
      </c>
      <c r="D230" s="6"/>
      <c r="E230" s="6">
        <v>134</v>
      </c>
      <c r="F230" s="1" t="s">
        <v>469</v>
      </c>
      <c r="G230" s="14" t="s">
        <v>3407</v>
      </c>
      <c r="H230" s="1"/>
      <c r="I230" s="22"/>
      <c r="J230" s="1" t="s">
        <v>3725</v>
      </c>
    </row>
    <row r="231" spans="1:10" x14ac:dyDescent="0.25">
      <c r="A231" s="1" t="s">
        <v>4179</v>
      </c>
      <c r="B231" s="1" t="s">
        <v>3726</v>
      </c>
      <c r="C231" s="2">
        <v>44712</v>
      </c>
      <c r="D231" s="6">
        <v>30</v>
      </c>
      <c r="E231" s="6">
        <v>36</v>
      </c>
      <c r="F231" s="1" t="s">
        <v>3727</v>
      </c>
      <c r="G231" s="14" t="s">
        <v>3728</v>
      </c>
      <c r="H231" s="1" t="s">
        <v>3729</v>
      </c>
      <c r="I231" s="22"/>
      <c r="J231" s="1" t="s">
        <v>3730</v>
      </c>
    </row>
    <row r="232" spans="1:10" x14ac:dyDescent="0.25">
      <c r="A232" s="1" t="s">
        <v>4180</v>
      </c>
      <c r="B232" s="1"/>
      <c r="C232" s="2"/>
      <c r="D232" s="6"/>
      <c r="E232" s="6"/>
      <c r="F232" s="1"/>
      <c r="G232" s="14"/>
      <c r="H232" s="1"/>
      <c r="I232" s="22"/>
      <c r="J232" s="1"/>
    </row>
    <row r="233" spans="1:10" x14ac:dyDescent="0.25">
      <c r="A233" s="1" t="s">
        <v>4181</v>
      </c>
      <c r="B233" s="1"/>
      <c r="C233" s="2"/>
      <c r="D233" s="6"/>
      <c r="E233" s="6"/>
      <c r="F233" s="1"/>
      <c r="G233" s="14"/>
      <c r="H233" s="1"/>
      <c r="I233" s="22"/>
      <c r="J233" s="1"/>
    </row>
    <row r="234" spans="1:10" x14ac:dyDescent="0.25">
      <c r="A234" s="1" t="s">
        <v>4182</v>
      </c>
      <c r="B234" s="1" t="s">
        <v>3342</v>
      </c>
      <c r="C234" s="2">
        <v>44715</v>
      </c>
      <c r="D234" s="6">
        <v>1736</v>
      </c>
      <c r="E234" s="6">
        <v>2083.1999999999998</v>
      </c>
      <c r="F234" s="1" t="s">
        <v>2597</v>
      </c>
      <c r="G234" s="14" t="s">
        <v>3401</v>
      </c>
      <c r="H234" s="1" t="s">
        <v>2598</v>
      </c>
      <c r="I234" s="22" t="s">
        <v>3402</v>
      </c>
      <c r="J234" s="1" t="s">
        <v>3731</v>
      </c>
    </row>
    <row r="235" spans="1:10" x14ac:dyDescent="0.25">
      <c r="A235" s="1" t="s">
        <v>4183</v>
      </c>
      <c r="B235" s="1" t="s">
        <v>3732</v>
      </c>
      <c r="C235" s="2">
        <v>44720</v>
      </c>
      <c r="D235" s="6">
        <v>-236.34</v>
      </c>
      <c r="E235" s="6">
        <v>-283.61</v>
      </c>
      <c r="F235" s="1" t="s">
        <v>504</v>
      </c>
      <c r="G235" s="14" t="s">
        <v>3409</v>
      </c>
      <c r="H235" s="1" t="s">
        <v>1107</v>
      </c>
      <c r="I235" s="22" t="s">
        <v>3410</v>
      </c>
      <c r="J235" s="1" t="s">
        <v>3733</v>
      </c>
    </row>
    <row r="236" spans="1:10" x14ac:dyDescent="0.25">
      <c r="A236" s="1" t="s">
        <v>4184</v>
      </c>
      <c r="B236" s="1" t="s">
        <v>3734</v>
      </c>
      <c r="C236" s="2">
        <v>44720</v>
      </c>
      <c r="D236" s="6"/>
      <c r="E236" s="6">
        <v>16.5</v>
      </c>
      <c r="F236" s="1" t="s">
        <v>469</v>
      </c>
      <c r="G236" s="14" t="s">
        <v>3407</v>
      </c>
      <c r="H236" s="1"/>
      <c r="I236" s="22"/>
      <c r="J236" s="1" t="s">
        <v>3735</v>
      </c>
    </row>
    <row r="237" spans="1:10" x14ac:dyDescent="0.25">
      <c r="A237" s="1" t="s">
        <v>4185</v>
      </c>
      <c r="B237" s="1" t="s">
        <v>3736</v>
      </c>
      <c r="C237" s="2">
        <v>44720</v>
      </c>
      <c r="D237" s="6"/>
      <c r="E237" s="6">
        <v>16.5</v>
      </c>
      <c r="F237" s="1" t="s">
        <v>469</v>
      </c>
      <c r="G237" s="14" t="s">
        <v>3407</v>
      </c>
      <c r="H237" s="1"/>
      <c r="I237" s="22"/>
      <c r="J237" s="1" t="s">
        <v>3737</v>
      </c>
    </row>
    <row r="238" spans="1:10" x14ac:dyDescent="0.25">
      <c r="A238" s="1" t="s">
        <v>4186</v>
      </c>
      <c r="B238" s="1" t="s">
        <v>3738</v>
      </c>
      <c r="C238" s="2">
        <v>44718</v>
      </c>
      <c r="D238" s="6"/>
      <c r="E238" s="6">
        <v>16.5</v>
      </c>
      <c r="F238" s="1" t="s">
        <v>469</v>
      </c>
      <c r="G238" s="14" t="s">
        <v>3407</v>
      </c>
      <c r="H238" s="1"/>
      <c r="I238" s="22"/>
      <c r="J238" s="1" t="s">
        <v>3739</v>
      </c>
    </row>
    <row r="239" spans="1:10" x14ac:dyDescent="0.25">
      <c r="A239" s="1" t="s">
        <v>4187</v>
      </c>
      <c r="B239" s="1" t="s">
        <v>3740</v>
      </c>
      <c r="C239" s="2">
        <v>44718</v>
      </c>
      <c r="D239" s="6"/>
      <c r="E239" s="6">
        <v>16.5</v>
      </c>
      <c r="F239" s="1" t="s">
        <v>469</v>
      </c>
      <c r="G239" s="14" t="s">
        <v>3407</v>
      </c>
      <c r="H239" s="1"/>
      <c r="I239" s="22"/>
      <c r="J239" s="1" t="s">
        <v>3741</v>
      </c>
    </row>
    <row r="240" spans="1:10" x14ac:dyDescent="0.25">
      <c r="A240" s="1" t="s">
        <v>4188</v>
      </c>
      <c r="B240" s="1" t="s">
        <v>3742</v>
      </c>
      <c r="C240" s="2">
        <v>44718</v>
      </c>
      <c r="D240" s="6"/>
      <c r="E240" s="6">
        <v>16.5</v>
      </c>
      <c r="F240" s="1" t="s">
        <v>469</v>
      </c>
      <c r="G240" s="14" t="s">
        <v>3407</v>
      </c>
      <c r="H240" s="1"/>
      <c r="I240" s="22"/>
      <c r="J240" s="1" t="s">
        <v>3743</v>
      </c>
    </row>
    <row r="241" spans="1:10" x14ac:dyDescent="0.25">
      <c r="A241" s="1" t="s">
        <v>4189</v>
      </c>
      <c r="B241" s="1" t="s">
        <v>3744</v>
      </c>
      <c r="C241" s="2">
        <v>44715</v>
      </c>
      <c r="D241" s="6"/>
      <c r="E241" s="6">
        <v>16.5</v>
      </c>
      <c r="F241" s="1" t="s">
        <v>469</v>
      </c>
      <c r="G241" s="14" t="s">
        <v>3407</v>
      </c>
      <c r="H241" s="1"/>
      <c r="I241" s="22"/>
      <c r="J241" s="1" t="s">
        <v>3745</v>
      </c>
    </row>
    <row r="242" spans="1:10" x14ac:dyDescent="0.25">
      <c r="A242" s="1" t="s">
        <v>4190</v>
      </c>
      <c r="B242" s="1" t="s">
        <v>3746</v>
      </c>
      <c r="C242" s="2">
        <v>44715</v>
      </c>
      <c r="D242" s="6"/>
      <c r="E242" s="6">
        <v>16.5</v>
      </c>
      <c r="F242" s="1" t="s">
        <v>469</v>
      </c>
      <c r="G242" s="14" t="s">
        <v>3407</v>
      </c>
      <c r="H242" s="1"/>
      <c r="I242" s="22"/>
      <c r="J242" s="1" t="s">
        <v>3747</v>
      </c>
    </row>
    <row r="243" spans="1:10" x14ac:dyDescent="0.25">
      <c r="A243" s="1" t="s">
        <v>4191</v>
      </c>
      <c r="B243" s="1" t="s">
        <v>3748</v>
      </c>
      <c r="C243" s="2">
        <v>44715</v>
      </c>
      <c r="D243" s="6"/>
      <c r="E243" s="6">
        <v>16.5</v>
      </c>
      <c r="F243" s="1" t="s">
        <v>469</v>
      </c>
      <c r="G243" s="14" t="s">
        <v>3407</v>
      </c>
      <c r="H243" s="1"/>
      <c r="I243" s="22"/>
      <c r="J243" s="1" t="s">
        <v>3749</v>
      </c>
    </row>
    <row r="244" spans="1:10" x14ac:dyDescent="0.25">
      <c r="A244" s="1" t="s">
        <v>4192</v>
      </c>
      <c r="B244" s="1" t="s">
        <v>3750</v>
      </c>
      <c r="C244" s="2">
        <v>44715</v>
      </c>
      <c r="D244" s="6"/>
      <c r="E244" s="6">
        <v>16.5</v>
      </c>
      <c r="F244" s="1" t="s">
        <v>469</v>
      </c>
      <c r="G244" s="14" t="s">
        <v>3407</v>
      </c>
      <c r="H244" s="1"/>
      <c r="I244" s="22"/>
      <c r="J244" s="1" t="s">
        <v>3751</v>
      </c>
    </row>
    <row r="245" spans="1:10" x14ac:dyDescent="0.25">
      <c r="A245" s="1" t="s">
        <v>4193</v>
      </c>
      <c r="B245" s="1" t="s">
        <v>3752</v>
      </c>
      <c r="C245" s="2">
        <v>44715</v>
      </c>
      <c r="D245" s="6"/>
      <c r="E245" s="6">
        <v>16.5</v>
      </c>
      <c r="F245" s="1" t="s">
        <v>469</v>
      </c>
      <c r="G245" s="14" t="s">
        <v>3407</v>
      </c>
      <c r="H245" s="1"/>
      <c r="I245" s="22"/>
      <c r="J245" s="1" t="s">
        <v>3753</v>
      </c>
    </row>
    <row r="246" spans="1:10" x14ac:dyDescent="0.25">
      <c r="A246" s="1" t="s">
        <v>4194</v>
      </c>
      <c r="B246" s="1" t="s">
        <v>3754</v>
      </c>
      <c r="C246" s="2">
        <v>44715</v>
      </c>
      <c r="D246" s="6"/>
      <c r="E246" s="6">
        <v>16.5</v>
      </c>
      <c r="F246" s="1" t="s">
        <v>469</v>
      </c>
      <c r="G246" s="14" t="s">
        <v>3407</v>
      </c>
      <c r="H246" s="1"/>
      <c r="I246" s="22"/>
      <c r="J246" s="1" t="s">
        <v>3755</v>
      </c>
    </row>
    <row r="247" spans="1:10" x14ac:dyDescent="0.25">
      <c r="A247" s="1" t="s">
        <v>4195</v>
      </c>
      <c r="B247" s="1" t="s">
        <v>3756</v>
      </c>
      <c r="C247" s="2">
        <v>44715</v>
      </c>
      <c r="D247" s="6"/>
      <c r="E247" s="6">
        <v>16.5</v>
      </c>
      <c r="F247" s="1" t="s">
        <v>469</v>
      </c>
      <c r="G247" s="14" t="s">
        <v>3407</v>
      </c>
      <c r="H247" s="1"/>
      <c r="I247" s="22"/>
      <c r="J247" s="1" t="s">
        <v>3757</v>
      </c>
    </row>
    <row r="248" spans="1:10" x14ac:dyDescent="0.25">
      <c r="A248" s="1" t="s">
        <v>4196</v>
      </c>
      <c r="B248" s="1" t="s">
        <v>3758</v>
      </c>
      <c r="C248" s="2">
        <v>44715</v>
      </c>
      <c r="D248" s="6"/>
      <c r="E248" s="6">
        <v>16.5</v>
      </c>
      <c r="F248" s="1" t="s">
        <v>469</v>
      </c>
      <c r="G248" s="14" t="s">
        <v>3407</v>
      </c>
      <c r="H248" s="1"/>
      <c r="I248" s="22"/>
      <c r="J248" s="1" t="s">
        <v>3759</v>
      </c>
    </row>
    <row r="249" spans="1:10" x14ac:dyDescent="0.25">
      <c r="A249" s="1" t="s">
        <v>4197</v>
      </c>
      <c r="B249" s="1" t="s">
        <v>3760</v>
      </c>
      <c r="C249" s="2">
        <v>44715</v>
      </c>
      <c r="D249" s="6"/>
      <c r="E249" s="6">
        <v>16.5</v>
      </c>
      <c r="F249" s="1" t="s">
        <v>469</v>
      </c>
      <c r="G249" s="14" t="s">
        <v>3407</v>
      </c>
      <c r="H249" s="1"/>
      <c r="I249" s="22"/>
      <c r="J249" s="1" t="s">
        <v>3761</v>
      </c>
    </row>
    <row r="250" spans="1:10" x14ac:dyDescent="0.25">
      <c r="A250" s="1" t="s">
        <v>4198</v>
      </c>
      <c r="B250" s="1" t="s">
        <v>3762</v>
      </c>
      <c r="C250" s="2">
        <v>44715</v>
      </c>
      <c r="D250" s="6"/>
      <c r="E250" s="6">
        <v>16.5</v>
      </c>
      <c r="F250" s="1" t="s">
        <v>469</v>
      </c>
      <c r="G250" s="14" t="s">
        <v>3407</v>
      </c>
      <c r="H250" s="1"/>
      <c r="I250" s="22"/>
      <c r="J250" s="1" t="s">
        <v>3763</v>
      </c>
    </row>
    <row r="251" spans="1:10" x14ac:dyDescent="0.25">
      <c r="A251" s="1" t="s">
        <v>4199</v>
      </c>
      <c r="B251" s="1" t="s">
        <v>3764</v>
      </c>
      <c r="C251" s="2">
        <v>44714</v>
      </c>
      <c r="D251" s="6"/>
      <c r="E251" s="6">
        <v>16.5</v>
      </c>
      <c r="F251" s="1" t="s">
        <v>469</v>
      </c>
      <c r="G251" s="14" t="s">
        <v>3407</v>
      </c>
      <c r="H251" s="1"/>
      <c r="I251" s="22"/>
      <c r="J251" s="1" t="s">
        <v>3765</v>
      </c>
    </row>
    <row r="252" spans="1:10" x14ac:dyDescent="0.25">
      <c r="A252" s="1" t="s">
        <v>4200</v>
      </c>
      <c r="B252" s="1" t="s">
        <v>3766</v>
      </c>
      <c r="C252" s="2">
        <v>44714</v>
      </c>
      <c r="D252" s="6"/>
      <c r="E252" s="6">
        <v>16.5</v>
      </c>
      <c r="F252" s="1" t="s">
        <v>469</v>
      </c>
      <c r="G252" s="14" t="s">
        <v>3407</v>
      </c>
      <c r="H252" s="1"/>
      <c r="I252" s="22"/>
      <c r="J252" s="1" t="s">
        <v>3767</v>
      </c>
    </row>
    <row r="253" spans="1:10" x14ac:dyDescent="0.25">
      <c r="A253" s="1" t="s">
        <v>4201</v>
      </c>
      <c r="B253" s="1" t="s">
        <v>3768</v>
      </c>
      <c r="C253" s="2">
        <v>44714</v>
      </c>
      <c r="D253" s="6"/>
      <c r="E253" s="6">
        <v>16.5</v>
      </c>
      <c r="F253" s="1" t="s">
        <v>469</v>
      </c>
      <c r="G253" s="14" t="s">
        <v>3407</v>
      </c>
      <c r="H253" s="1"/>
      <c r="I253" s="22"/>
      <c r="J253" s="1" t="s">
        <v>3769</v>
      </c>
    </row>
    <row r="254" spans="1:10" x14ac:dyDescent="0.25">
      <c r="A254" s="1" t="s">
        <v>4202</v>
      </c>
      <c r="B254" s="1" t="s">
        <v>3770</v>
      </c>
      <c r="C254" s="2">
        <v>44714</v>
      </c>
      <c r="D254" s="6"/>
      <c r="E254" s="6">
        <v>16.5</v>
      </c>
      <c r="F254" s="1" t="s">
        <v>469</v>
      </c>
      <c r="G254" s="14" t="s">
        <v>3407</v>
      </c>
      <c r="H254" s="1"/>
      <c r="I254" s="22"/>
      <c r="J254" s="1" t="s">
        <v>3771</v>
      </c>
    </row>
    <row r="255" spans="1:10" x14ac:dyDescent="0.25">
      <c r="A255" s="1" t="s">
        <v>4203</v>
      </c>
      <c r="B255" s="1" t="s">
        <v>3772</v>
      </c>
      <c r="C255" s="2">
        <v>44714</v>
      </c>
      <c r="D255" s="6"/>
      <c r="E255" s="6">
        <v>16.5</v>
      </c>
      <c r="F255" s="1" t="s">
        <v>469</v>
      </c>
      <c r="G255" s="14" t="s">
        <v>3407</v>
      </c>
      <c r="H255" s="1"/>
      <c r="I255" s="22"/>
      <c r="J255" s="1" t="s">
        <v>3773</v>
      </c>
    </row>
    <row r="256" spans="1:10" x14ac:dyDescent="0.25">
      <c r="A256" s="1" t="s">
        <v>4204</v>
      </c>
      <c r="B256" s="1" t="s">
        <v>3774</v>
      </c>
      <c r="C256" s="2">
        <v>44723</v>
      </c>
      <c r="D256" s="6"/>
      <c r="E256" s="6">
        <v>936</v>
      </c>
      <c r="F256" s="1" t="s">
        <v>473</v>
      </c>
      <c r="G256" s="14" t="s">
        <v>3403</v>
      </c>
      <c r="H256" s="1" t="s">
        <v>1109</v>
      </c>
      <c r="I256" s="22" t="s">
        <v>3404</v>
      </c>
      <c r="J256" s="1" t="s">
        <v>3775</v>
      </c>
    </row>
    <row r="257" spans="1:10" x14ac:dyDescent="0.25">
      <c r="A257" s="1" t="s">
        <v>4205</v>
      </c>
      <c r="B257" s="1" t="s">
        <v>3776</v>
      </c>
      <c r="C257" s="2">
        <v>44723</v>
      </c>
      <c r="D257" s="6"/>
      <c r="E257" s="6">
        <v>42.5</v>
      </c>
      <c r="F257" s="1" t="s">
        <v>469</v>
      </c>
      <c r="G257" s="14" t="s">
        <v>3407</v>
      </c>
      <c r="H257" s="1"/>
      <c r="I257" s="22"/>
      <c r="J257" s="1" t="s">
        <v>3777</v>
      </c>
    </row>
    <row r="258" spans="1:10" x14ac:dyDescent="0.25">
      <c r="A258" s="1" t="s">
        <v>4206</v>
      </c>
      <c r="B258" s="1" t="s">
        <v>3778</v>
      </c>
      <c r="C258" s="2">
        <v>44723</v>
      </c>
      <c r="D258" s="6"/>
      <c r="E258" s="6">
        <v>49.5</v>
      </c>
      <c r="F258" s="1" t="s">
        <v>469</v>
      </c>
      <c r="G258" s="14" t="s">
        <v>3407</v>
      </c>
      <c r="H258" s="1"/>
      <c r="I258" s="22"/>
      <c r="J258" s="1" t="s">
        <v>3779</v>
      </c>
    </row>
    <row r="259" spans="1:10" x14ac:dyDescent="0.25">
      <c r="A259" s="1" t="s">
        <v>4207</v>
      </c>
      <c r="B259" s="1" t="s">
        <v>3780</v>
      </c>
      <c r="C259" s="2">
        <v>44723</v>
      </c>
      <c r="D259" s="6"/>
      <c r="E259" s="6">
        <v>21</v>
      </c>
      <c r="F259" s="1" t="s">
        <v>469</v>
      </c>
      <c r="G259" s="14" t="s">
        <v>3407</v>
      </c>
      <c r="H259" s="1"/>
      <c r="I259" s="22"/>
      <c r="J259" s="1" t="s">
        <v>3781</v>
      </c>
    </row>
    <row r="260" spans="1:10" x14ac:dyDescent="0.25">
      <c r="A260" s="1" t="s">
        <v>4208</v>
      </c>
      <c r="B260" s="1" t="s">
        <v>3782</v>
      </c>
      <c r="C260" s="2">
        <v>44723</v>
      </c>
      <c r="D260" s="6"/>
      <c r="E260" s="6">
        <v>16.5</v>
      </c>
      <c r="F260" s="1" t="s">
        <v>469</v>
      </c>
      <c r="G260" s="14" t="s">
        <v>3407</v>
      </c>
      <c r="H260" s="1"/>
      <c r="I260" s="22"/>
      <c r="J260" s="1" t="s">
        <v>3783</v>
      </c>
    </row>
    <row r="261" spans="1:10" x14ac:dyDescent="0.25">
      <c r="A261" s="1" t="s">
        <v>4209</v>
      </c>
      <c r="B261" s="1" t="s">
        <v>3784</v>
      </c>
      <c r="C261" s="2">
        <v>44723</v>
      </c>
      <c r="D261" s="6"/>
      <c r="E261" s="6">
        <v>34</v>
      </c>
      <c r="F261" s="1" t="s">
        <v>469</v>
      </c>
      <c r="G261" s="14" t="s">
        <v>3407</v>
      </c>
      <c r="H261" s="1"/>
      <c r="I261" s="22"/>
      <c r="J261" s="1" t="s">
        <v>3785</v>
      </c>
    </row>
    <row r="262" spans="1:10" x14ac:dyDescent="0.25">
      <c r="A262" s="1" t="s">
        <v>4210</v>
      </c>
      <c r="B262" s="1" t="s">
        <v>3786</v>
      </c>
      <c r="C262" s="2">
        <v>44723</v>
      </c>
      <c r="D262" s="6"/>
      <c r="E262" s="6">
        <v>42.5</v>
      </c>
      <c r="F262" s="1" t="s">
        <v>469</v>
      </c>
      <c r="G262" s="14" t="s">
        <v>3407</v>
      </c>
      <c r="H262" s="1"/>
      <c r="I262" s="22"/>
      <c r="J262" s="1" t="s">
        <v>3787</v>
      </c>
    </row>
    <row r="263" spans="1:10" x14ac:dyDescent="0.25">
      <c r="A263" s="1" t="s">
        <v>4211</v>
      </c>
      <c r="B263" s="1" t="s">
        <v>3788</v>
      </c>
      <c r="C263" s="2">
        <v>44723</v>
      </c>
      <c r="D263" s="6">
        <v>264</v>
      </c>
      <c r="E263" s="6">
        <v>316.8</v>
      </c>
      <c r="F263" s="1" t="s">
        <v>488</v>
      </c>
      <c r="G263" s="14" t="s">
        <v>3446</v>
      </c>
      <c r="H263" s="1" t="s">
        <v>1137</v>
      </c>
      <c r="I263" s="22" t="s">
        <v>3447</v>
      </c>
      <c r="J263" s="1" t="s">
        <v>3789</v>
      </c>
    </row>
    <row r="264" spans="1:10" x14ac:dyDescent="0.25">
      <c r="A264" s="1" t="s">
        <v>4212</v>
      </c>
      <c r="B264" s="1" t="s">
        <v>3790</v>
      </c>
      <c r="C264" s="2">
        <v>44723</v>
      </c>
      <c r="D264" s="6"/>
      <c r="E264" s="6">
        <v>97.5</v>
      </c>
      <c r="F264" s="1" t="s">
        <v>469</v>
      </c>
      <c r="G264" s="14" t="s">
        <v>3407</v>
      </c>
      <c r="H264" s="1"/>
      <c r="I264" s="22"/>
      <c r="J264" s="1" t="s">
        <v>3779</v>
      </c>
    </row>
    <row r="265" spans="1:10" x14ac:dyDescent="0.25">
      <c r="A265" s="1" t="s">
        <v>4213</v>
      </c>
      <c r="B265" s="1" t="s">
        <v>3791</v>
      </c>
      <c r="C265" s="2">
        <v>44721</v>
      </c>
      <c r="D265" s="6"/>
      <c r="E265" s="6">
        <v>72</v>
      </c>
      <c r="F265" s="1" t="s">
        <v>3792</v>
      </c>
      <c r="G265" s="14" t="s">
        <v>3793</v>
      </c>
      <c r="H265" s="1" t="s">
        <v>3794</v>
      </c>
      <c r="I265" s="22"/>
      <c r="J265" s="1" t="s">
        <v>3795</v>
      </c>
    </row>
    <row r="266" spans="1:10" x14ac:dyDescent="0.25">
      <c r="A266" s="1" t="s">
        <v>4214</v>
      </c>
      <c r="B266" s="1" t="s">
        <v>3796</v>
      </c>
      <c r="C266" s="2">
        <v>44715</v>
      </c>
      <c r="D266" s="6">
        <v>165.15</v>
      </c>
      <c r="E266" s="6">
        <v>199.15</v>
      </c>
      <c r="F266" s="1" t="s">
        <v>466</v>
      </c>
      <c r="G266" s="14" t="s">
        <v>3406</v>
      </c>
      <c r="H266" s="1" t="s">
        <v>1105</v>
      </c>
      <c r="I266" s="22" t="s">
        <v>3405</v>
      </c>
      <c r="J266" s="1" t="s">
        <v>3797</v>
      </c>
    </row>
    <row r="267" spans="1:10" x14ac:dyDescent="0.25">
      <c r="A267" s="1" t="s">
        <v>4215</v>
      </c>
      <c r="B267" s="1" t="s">
        <v>3798</v>
      </c>
      <c r="C267" s="2">
        <v>44723</v>
      </c>
      <c r="D267" s="6">
        <v>2064.4699999999998</v>
      </c>
      <c r="E267" s="6">
        <v>2477.36</v>
      </c>
      <c r="F267" s="1" t="s">
        <v>470</v>
      </c>
      <c r="G267" s="14" t="s">
        <v>3399</v>
      </c>
      <c r="H267" s="1" t="s">
        <v>1101</v>
      </c>
      <c r="I267" s="22" t="s">
        <v>3400</v>
      </c>
      <c r="J267" s="1" t="s">
        <v>3799</v>
      </c>
    </row>
    <row r="268" spans="1:10" x14ac:dyDescent="0.25">
      <c r="A268" s="1" t="s">
        <v>4216</v>
      </c>
      <c r="B268" s="1" t="s">
        <v>3800</v>
      </c>
      <c r="C268" s="2">
        <v>44723</v>
      </c>
      <c r="D268" s="6">
        <v>546</v>
      </c>
      <c r="E268" s="6">
        <v>655.20000000000005</v>
      </c>
      <c r="F268" s="1" t="s">
        <v>470</v>
      </c>
      <c r="G268" s="14" t="s">
        <v>3399</v>
      </c>
      <c r="H268" s="1" t="s">
        <v>1101</v>
      </c>
      <c r="I268" s="22" t="s">
        <v>3400</v>
      </c>
      <c r="J268" s="1" t="s">
        <v>3801</v>
      </c>
    </row>
    <row r="269" spans="1:10" x14ac:dyDescent="0.25">
      <c r="A269" s="1" t="s">
        <v>4217</v>
      </c>
      <c r="B269" s="1" t="s">
        <v>3802</v>
      </c>
      <c r="C269" s="2">
        <v>44723</v>
      </c>
      <c r="D269" s="6">
        <v>220.1</v>
      </c>
      <c r="E269" s="6">
        <v>264.12</v>
      </c>
      <c r="F269" s="1" t="s">
        <v>470</v>
      </c>
      <c r="G269" s="14" t="s">
        <v>3663</v>
      </c>
      <c r="H269" s="1" t="s">
        <v>1101</v>
      </c>
      <c r="I269" s="22" t="s">
        <v>3400</v>
      </c>
      <c r="J269" s="1" t="s">
        <v>3803</v>
      </c>
    </row>
    <row r="270" spans="1:10" x14ac:dyDescent="0.25">
      <c r="A270" s="1" t="s">
        <v>4218</v>
      </c>
      <c r="B270" s="1" t="s">
        <v>3804</v>
      </c>
      <c r="C270" s="2">
        <v>44723</v>
      </c>
      <c r="D270" s="6">
        <v>660</v>
      </c>
      <c r="E270" s="6">
        <v>660</v>
      </c>
      <c r="F270" s="1" t="s">
        <v>486</v>
      </c>
      <c r="G270" s="14" t="s">
        <v>3528</v>
      </c>
      <c r="H270" s="1" t="s">
        <v>1133</v>
      </c>
      <c r="I270" s="22" t="s">
        <v>3535</v>
      </c>
      <c r="J270" s="1" t="s">
        <v>3805</v>
      </c>
    </row>
    <row r="271" spans="1:10" x14ac:dyDescent="0.25">
      <c r="A271" s="1" t="s">
        <v>4219</v>
      </c>
      <c r="B271" s="1" t="s">
        <v>3806</v>
      </c>
      <c r="C271" s="2">
        <v>44725</v>
      </c>
      <c r="D271" s="6">
        <v>579</v>
      </c>
      <c r="E271" s="6">
        <v>694.8</v>
      </c>
      <c r="F271" s="1" t="s">
        <v>470</v>
      </c>
      <c r="G271" s="14" t="s">
        <v>3663</v>
      </c>
      <c r="H271" s="1" t="s">
        <v>1101</v>
      </c>
      <c r="I271" s="22" t="s">
        <v>3400</v>
      </c>
      <c r="J271" s="1" t="s">
        <v>3807</v>
      </c>
    </row>
    <row r="272" spans="1:10" x14ac:dyDescent="0.25">
      <c r="A272" s="1" t="s">
        <v>4220</v>
      </c>
      <c r="B272" s="1" t="s">
        <v>3808</v>
      </c>
      <c r="C272" s="2">
        <v>44725</v>
      </c>
      <c r="D272" s="6"/>
      <c r="E272" s="6">
        <v>72</v>
      </c>
      <c r="F272" s="1" t="s">
        <v>3792</v>
      </c>
      <c r="G272" s="14" t="s">
        <v>3793</v>
      </c>
      <c r="H272" s="1" t="s">
        <v>3794</v>
      </c>
      <c r="I272" s="22"/>
      <c r="J272" s="1" t="s">
        <v>3795</v>
      </c>
    </row>
    <row r="273" spans="1:10" x14ac:dyDescent="0.25">
      <c r="A273" s="1" t="s">
        <v>4221</v>
      </c>
      <c r="B273" s="1" t="s">
        <v>3809</v>
      </c>
      <c r="C273" s="2">
        <v>44725</v>
      </c>
      <c r="D273" s="6"/>
      <c r="E273" s="6">
        <v>72</v>
      </c>
      <c r="F273" s="1" t="s">
        <v>3792</v>
      </c>
      <c r="G273" s="14" t="s">
        <v>3793</v>
      </c>
      <c r="H273" s="1" t="s">
        <v>3794</v>
      </c>
      <c r="I273" s="22"/>
      <c r="J273" s="1" t="s">
        <v>3810</v>
      </c>
    </row>
    <row r="274" spans="1:10" x14ac:dyDescent="0.25">
      <c r="A274" s="1" t="s">
        <v>4222</v>
      </c>
      <c r="B274" s="1" t="s">
        <v>3811</v>
      </c>
      <c r="C274" s="2">
        <v>44725</v>
      </c>
      <c r="D274" s="6">
        <v>17.600000000000001</v>
      </c>
      <c r="E274" s="6">
        <v>21.12</v>
      </c>
      <c r="F274" s="1" t="s">
        <v>3451</v>
      </c>
      <c r="G274" s="14" t="s">
        <v>3429</v>
      </c>
      <c r="H274" s="1" t="s">
        <v>1124</v>
      </c>
      <c r="I274" s="22" t="s">
        <v>3430</v>
      </c>
      <c r="J274" s="1" t="s">
        <v>3737</v>
      </c>
    </row>
    <row r="275" spans="1:10" x14ac:dyDescent="0.25">
      <c r="A275" s="1" t="s">
        <v>4223</v>
      </c>
      <c r="B275" s="1" t="s">
        <v>3812</v>
      </c>
      <c r="C275" s="2">
        <v>44725</v>
      </c>
      <c r="D275" s="6">
        <v>16.5</v>
      </c>
      <c r="E275" s="6">
        <v>19.8</v>
      </c>
      <c r="F275" s="1" t="s">
        <v>3451</v>
      </c>
      <c r="G275" s="14" t="s">
        <v>3429</v>
      </c>
      <c r="H275" s="1" t="s">
        <v>1124</v>
      </c>
      <c r="I275" s="22" t="s">
        <v>3430</v>
      </c>
      <c r="J275" s="1" t="s">
        <v>3749</v>
      </c>
    </row>
    <row r="276" spans="1:10" x14ac:dyDescent="0.25">
      <c r="A276" s="1" t="s">
        <v>4224</v>
      </c>
      <c r="B276" s="1" t="s">
        <v>3813</v>
      </c>
      <c r="C276" s="2">
        <v>44725</v>
      </c>
      <c r="D276" s="6">
        <v>16.5</v>
      </c>
      <c r="E276" s="6">
        <v>19.8</v>
      </c>
      <c r="F276" s="1" t="s">
        <v>3451</v>
      </c>
      <c r="G276" s="14" t="s">
        <v>3429</v>
      </c>
      <c r="H276" s="1" t="s">
        <v>1124</v>
      </c>
      <c r="I276" s="22" t="s">
        <v>3430</v>
      </c>
      <c r="J276" s="1" t="s">
        <v>3814</v>
      </c>
    </row>
    <row r="277" spans="1:10" x14ac:dyDescent="0.25">
      <c r="A277" s="1" t="s">
        <v>4225</v>
      </c>
      <c r="B277" s="1" t="s">
        <v>3815</v>
      </c>
      <c r="C277" s="2">
        <v>44725</v>
      </c>
      <c r="D277" s="6">
        <v>16.5</v>
      </c>
      <c r="E277" s="6">
        <v>19.8</v>
      </c>
      <c r="F277" s="1" t="s">
        <v>3451</v>
      </c>
      <c r="G277" s="14" t="s">
        <v>3429</v>
      </c>
      <c r="H277" s="1" t="s">
        <v>1124</v>
      </c>
      <c r="I277" s="22" t="s">
        <v>3430</v>
      </c>
      <c r="J277" s="1" t="s">
        <v>3747</v>
      </c>
    </row>
    <row r="278" spans="1:10" x14ac:dyDescent="0.25">
      <c r="A278" s="1" t="s">
        <v>4226</v>
      </c>
      <c r="B278" s="1" t="s">
        <v>3816</v>
      </c>
      <c r="C278" s="2">
        <v>44725</v>
      </c>
      <c r="D278" s="6">
        <v>16.5</v>
      </c>
      <c r="E278" s="6">
        <v>19.8</v>
      </c>
      <c r="F278" s="1" t="s">
        <v>3451</v>
      </c>
      <c r="G278" s="14" t="s">
        <v>3429</v>
      </c>
      <c r="H278" s="1" t="s">
        <v>1124</v>
      </c>
      <c r="I278" s="22" t="s">
        <v>3430</v>
      </c>
      <c r="J278" s="1" t="s">
        <v>3741</v>
      </c>
    </row>
    <row r="279" spans="1:10" x14ac:dyDescent="0.25">
      <c r="A279" s="1" t="s">
        <v>4227</v>
      </c>
      <c r="B279" s="1" t="s">
        <v>3817</v>
      </c>
      <c r="C279" s="2">
        <v>44725</v>
      </c>
      <c r="D279" s="6">
        <v>16.5</v>
      </c>
      <c r="E279" s="6">
        <v>19.8</v>
      </c>
      <c r="F279" s="1" t="s">
        <v>3451</v>
      </c>
      <c r="G279" s="14" t="s">
        <v>3429</v>
      </c>
      <c r="H279" s="1" t="s">
        <v>1124</v>
      </c>
      <c r="I279" s="22" t="s">
        <v>3430</v>
      </c>
      <c r="J279" s="1" t="s">
        <v>3819</v>
      </c>
    </row>
    <row r="280" spans="1:10" x14ac:dyDescent="0.25">
      <c r="A280" s="1" t="s">
        <v>4228</v>
      </c>
      <c r="B280" s="1" t="s">
        <v>3818</v>
      </c>
      <c r="C280" s="2">
        <v>44725</v>
      </c>
      <c r="D280" s="6">
        <v>16.5</v>
      </c>
      <c r="E280" s="6">
        <v>19.8</v>
      </c>
      <c r="F280" s="1" t="s">
        <v>3451</v>
      </c>
      <c r="G280" s="14" t="s">
        <v>3429</v>
      </c>
      <c r="H280" s="1" t="s">
        <v>1124</v>
      </c>
      <c r="I280" s="22" t="s">
        <v>3430</v>
      </c>
      <c r="J280" s="1" t="s">
        <v>3820</v>
      </c>
    </row>
    <row r="281" spans="1:10" x14ac:dyDescent="0.25">
      <c r="A281" s="1" t="s">
        <v>4229</v>
      </c>
      <c r="B281" s="1" t="s">
        <v>3821</v>
      </c>
      <c r="C281" s="2">
        <v>44725</v>
      </c>
      <c r="D281" s="6">
        <v>16.5</v>
      </c>
      <c r="E281" s="6">
        <v>19.8</v>
      </c>
      <c r="F281" s="1" t="s">
        <v>3451</v>
      </c>
      <c r="G281" s="14" t="s">
        <v>3429</v>
      </c>
      <c r="H281" s="1" t="s">
        <v>1124</v>
      </c>
      <c r="I281" s="22" t="s">
        <v>3430</v>
      </c>
      <c r="J281" s="1" t="s">
        <v>3753</v>
      </c>
    </row>
    <row r="282" spans="1:10" x14ac:dyDescent="0.25">
      <c r="A282" s="1" t="s">
        <v>4230</v>
      </c>
      <c r="B282" s="1" t="s">
        <v>3822</v>
      </c>
      <c r="C282" s="2">
        <v>44725</v>
      </c>
      <c r="D282" s="6">
        <v>16.5</v>
      </c>
      <c r="E282" s="6">
        <v>19.8</v>
      </c>
      <c r="F282" s="1" t="s">
        <v>3451</v>
      </c>
      <c r="G282" s="14" t="s">
        <v>3429</v>
      </c>
      <c r="H282" s="1" t="s">
        <v>1124</v>
      </c>
      <c r="I282" s="22" t="s">
        <v>3430</v>
      </c>
      <c r="J282" s="1" t="s">
        <v>3823</v>
      </c>
    </row>
    <row r="283" spans="1:10" x14ac:dyDescent="0.25">
      <c r="A283" s="1" t="s">
        <v>4231</v>
      </c>
      <c r="B283" s="1" t="s">
        <v>3824</v>
      </c>
      <c r="C283" s="2">
        <v>44725</v>
      </c>
      <c r="D283" s="6">
        <v>16.5</v>
      </c>
      <c r="E283" s="6">
        <v>19.8</v>
      </c>
      <c r="F283" s="1" t="s">
        <v>3451</v>
      </c>
      <c r="G283" s="14" t="s">
        <v>3429</v>
      </c>
      <c r="H283" s="1" t="s">
        <v>1124</v>
      </c>
      <c r="I283" s="22" t="s">
        <v>3430</v>
      </c>
      <c r="J283" s="1" t="s">
        <v>3735</v>
      </c>
    </row>
    <row r="284" spans="1:10" x14ac:dyDescent="0.25">
      <c r="A284" s="1" t="s">
        <v>4232</v>
      </c>
      <c r="B284" s="1" t="s">
        <v>3825</v>
      </c>
      <c r="C284" s="2">
        <v>44725</v>
      </c>
      <c r="D284" s="6">
        <v>16.5</v>
      </c>
      <c r="E284" s="6">
        <v>19.8</v>
      </c>
      <c r="F284" s="1" t="s">
        <v>3451</v>
      </c>
      <c r="G284" s="14" t="s">
        <v>3429</v>
      </c>
      <c r="H284" s="1" t="s">
        <v>1124</v>
      </c>
      <c r="I284" s="22" t="s">
        <v>3430</v>
      </c>
      <c r="J284" s="1" t="s">
        <v>3755</v>
      </c>
    </row>
    <row r="285" spans="1:10" x14ac:dyDescent="0.25">
      <c r="A285" s="1" t="s">
        <v>4233</v>
      </c>
      <c r="B285" s="1" t="s">
        <v>3826</v>
      </c>
      <c r="C285" s="2">
        <v>44725</v>
      </c>
      <c r="D285" s="6">
        <v>16.5</v>
      </c>
      <c r="E285" s="6">
        <v>19.8</v>
      </c>
      <c r="F285" s="1" t="s">
        <v>3451</v>
      </c>
      <c r="G285" s="14" t="s">
        <v>3429</v>
      </c>
      <c r="H285" s="1" t="s">
        <v>1124</v>
      </c>
      <c r="I285" s="22" t="s">
        <v>3430</v>
      </c>
      <c r="J285" s="1" t="s">
        <v>3827</v>
      </c>
    </row>
    <row r="286" spans="1:10" x14ac:dyDescent="0.25">
      <c r="A286" s="1" t="s">
        <v>4234</v>
      </c>
      <c r="B286" s="1" t="s">
        <v>3828</v>
      </c>
      <c r="C286" s="2">
        <v>44725</v>
      </c>
      <c r="D286" s="6">
        <v>16.5</v>
      </c>
      <c r="E286" s="6">
        <v>19.8</v>
      </c>
      <c r="F286" s="1" t="s">
        <v>3451</v>
      </c>
      <c r="G286" s="14" t="s">
        <v>3429</v>
      </c>
      <c r="H286" s="1" t="s">
        <v>1124</v>
      </c>
      <c r="I286" s="22" t="s">
        <v>3430</v>
      </c>
      <c r="J286" s="1" t="s">
        <v>3757</v>
      </c>
    </row>
    <row r="287" spans="1:10" x14ac:dyDescent="0.25">
      <c r="A287" s="1" t="s">
        <v>4235</v>
      </c>
      <c r="B287" s="1" t="s">
        <v>3829</v>
      </c>
      <c r="C287" s="2">
        <v>44725</v>
      </c>
      <c r="D287" s="6">
        <v>16.5</v>
      </c>
      <c r="E287" s="6">
        <v>19.8</v>
      </c>
      <c r="F287" s="1" t="s">
        <v>3451</v>
      </c>
      <c r="G287" s="14" t="s">
        <v>3429</v>
      </c>
      <c r="H287" s="1" t="s">
        <v>1124</v>
      </c>
      <c r="I287" s="22" t="s">
        <v>3430</v>
      </c>
      <c r="J287" s="1" t="s">
        <v>3830</v>
      </c>
    </row>
    <row r="288" spans="1:10" x14ac:dyDescent="0.25">
      <c r="A288" s="1" t="s">
        <v>4236</v>
      </c>
      <c r="B288" s="1" t="s">
        <v>3831</v>
      </c>
      <c r="C288" s="2">
        <v>44725</v>
      </c>
      <c r="D288" s="6">
        <v>16.5</v>
      </c>
      <c r="E288" s="6">
        <v>19.8</v>
      </c>
      <c r="F288" s="1" t="s">
        <v>3451</v>
      </c>
      <c r="G288" s="14" t="s">
        <v>3429</v>
      </c>
      <c r="H288" s="1" t="s">
        <v>1124</v>
      </c>
      <c r="I288" s="22" t="s">
        <v>3430</v>
      </c>
      <c r="J288" s="1" t="s">
        <v>3763</v>
      </c>
    </row>
    <row r="289" spans="1:10" x14ac:dyDescent="0.25">
      <c r="A289" s="1" t="s">
        <v>4237</v>
      </c>
      <c r="B289" s="1" t="s">
        <v>3832</v>
      </c>
      <c r="C289" s="2">
        <v>44725</v>
      </c>
      <c r="D289" s="6">
        <v>16.5</v>
      </c>
      <c r="E289" s="6">
        <v>19.8</v>
      </c>
      <c r="F289" s="1" t="s">
        <v>3451</v>
      </c>
      <c r="G289" s="14" t="s">
        <v>3429</v>
      </c>
      <c r="H289" s="1" t="s">
        <v>1124</v>
      </c>
      <c r="I289" s="22" t="s">
        <v>3430</v>
      </c>
      <c r="J289" s="1" t="s">
        <v>3751</v>
      </c>
    </row>
    <row r="290" spans="1:10" x14ac:dyDescent="0.25">
      <c r="A290" s="1" t="s">
        <v>4238</v>
      </c>
      <c r="B290" s="1" t="s">
        <v>3833</v>
      </c>
      <c r="C290" s="2">
        <v>44725</v>
      </c>
      <c r="D290" s="6">
        <v>16.5</v>
      </c>
      <c r="E290" s="6">
        <v>19.8</v>
      </c>
      <c r="F290" s="1" t="s">
        <v>3451</v>
      </c>
      <c r="G290" s="14" t="s">
        <v>3429</v>
      </c>
      <c r="H290" s="1" t="s">
        <v>1124</v>
      </c>
      <c r="I290" s="22" t="s">
        <v>3430</v>
      </c>
      <c r="J290" s="1" t="s">
        <v>3771</v>
      </c>
    </row>
    <row r="291" spans="1:10" x14ac:dyDescent="0.25">
      <c r="A291" s="1" t="s">
        <v>4239</v>
      </c>
      <c r="B291" s="1" t="s">
        <v>3834</v>
      </c>
      <c r="C291" s="2">
        <v>44725</v>
      </c>
      <c r="D291" s="6">
        <v>16.5</v>
      </c>
      <c r="E291" s="6">
        <v>19.8</v>
      </c>
      <c r="F291" s="1" t="s">
        <v>3451</v>
      </c>
      <c r="G291" s="14" t="s">
        <v>3429</v>
      </c>
      <c r="H291" s="1" t="s">
        <v>1124</v>
      </c>
      <c r="I291" s="22" t="s">
        <v>3430</v>
      </c>
      <c r="J291" s="1" t="s">
        <v>3765</v>
      </c>
    </row>
    <row r="292" spans="1:10" x14ac:dyDescent="0.25">
      <c r="A292" s="1" t="s">
        <v>4240</v>
      </c>
      <c r="B292" s="1" t="s">
        <v>3835</v>
      </c>
      <c r="C292" s="2">
        <v>44725</v>
      </c>
      <c r="D292" s="6">
        <v>16.5</v>
      </c>
      <c r="E292" s="6">
        <v>19.8</v>
      </c>
      <c r="F292" s="1" t="s">
        <v>3451</v>
      </c>
      <c r="G292" s="14" t="s">
        <v>3429</v>
      </c>
      <c r="H292" s="1" t="s">
        <v>1124</v>
      </c>
      <c r="I292" s="22" t="s">
        <v>3430</v>
      </c>
      <c r="J292" s="1" t="s">
        <v>3767</v>
      </c>
    </row>
    <row r="293" spans="1:10" x14ac:dyDescent="0.25">
      <c r="A293" s="1" t="s">
        <v>4241</v>
      </c>
      <c r="B293" s="1" t="s">
        <v>3836</v>
      </c>
      <c r="C293" s="2">
        <v>44725</v>
      </c>
      <c r="D293" s="6">
        <v>16.5</v>
      </c>
      <c r="E293" s="6">
        <v>19.8</v>
      </c>
      <c r="F293" s="1" t="s">
        <v>3451</v>
      </c>
      <c r="G293" s="14" t="s">
        <v>3429</v>
      </c>
      <c r="H293" s="1" t="s">
        <v>1124</v>
      </c>
      <c r="I293" s="22" t="s">
        <v>3430</v>
      </c>
      <c r="J293" s="1" t="s">
        <v>3769</v>
      </c>
    </row>
    <row r="294" spans="1:10" x14ac:dyDescent="0.25">
      <c r="A294" s="1" t="s">
        <v>4242</v>
      </c>
      <c r="B294" s="1" t="s">
        <v>3837</v>
      </c>
      <c r="C294" s="2">
        <v>44726</v>
      </c>
      <c r="D294" s="6"/>
      <c r="E294" s="6">
        <v>26527.599999999999</v>
      </c>
      <c r="F294" s="1" t="s">
        <v>475</v>
      </c>
      <c r="G294" s="14" t="s">
        <v>3411</v>
      </c>
      <c r="H294" s="1" t="s">
        <v>1115</v>
      </c>
      <c r="I294" s="22" t="s">
        <v>3412</v>
      </c>
      <c r="J294" s="1" t="s">
        <v>4434</v>
      </c>
    </row>
    <row r="295" spans="1:10" x14ac:dyDescent="0.25">
      <c r="A295" s="1" t="s">
        <v>4243</v>
      </c>
      <c r="B295" s="1" t="s">
        <v>3838</v>
      </c>
      <c r="C295" s="2">
        <v>44727</v>
      </c>
      <c r="D295" s="6">
        <v>50.76</v>
      </c>
      <c r="E295" s="6">
        <v>60.9</v>
      </c>
      <c r="F295" s="1" t="s">
        <v>467</v>
      </c>
      <c r="G295" s="14" t="s">
        <v>3397</v>
      </c>
      <c r="H295" s="1" t="s">
        <v>1099</v>
      </c>
      <c r="I295" s="22" t="s">
        <v>1117</v>
      </c>
      <c r="J295" s="1" t="s">
        <v>3839</v>
      </c>
    </row>
    <row r="296" spans="1:10" x14ac:dyDescent="0.25">
      <c r="A296" s="1" t="s">
        <v>4244</v>
      </c>
      <c r="B296" s="1" t="s">
        <v>3840</v>
      </c>
      <c r="C296" s="2">
        <v>44727</v>
      </c>
      <c r="D296" s="6">
        <v>162.6</v>
      </c>
      <c r="E296" s="6">
        <v>195.12</v>
      </c>
      <c r="F296" s="1" t="s">
        <v>468</v>
      </c>
      <c r="G296" s="14" t="s">
        <v>3398</v>
      </c>
      <c r="H296" s="1" t="s">
        <v>1098</v>
      </c>
      <c r="I296" s="22" t="s">
        <v>1189</v>
      </c>
      <c r="J296" s="1" t="s">
        <v>3841</v>
      </c>
    </row>
    <row r="297" spans="1:10" x14ac:dyDescent="0.25">
      <c r="A297" s="1" t="s">
        <v>4245</v>
      </c>
      <c r="B297" s="1" t="s">
        <v>3842</v>
      </c>
      <c r="C297" s="2">
        <v>44727</v>
      </c>
      <c r="D297" s="6"/>
      <c r="E297" s="6">
        <v>26.88</v>
      </c>
      <c r="F297" s="1" t="s">
        <v>468</v>
      </c>
      <c r="G297" s="14" t="s">
        <v>3398</v>
      </c>
      <c r="H297" s="1" t="s">
        <v>1098</v>
      </c>
      <c r="I297" s="22" t="s">
        <v>1189</v>
      </c>
      <c r="J297" s="1" t="s">
        <v>3843</v>
      </c>
    </row>
    <row r="298" spans="1:10" x14ac:dyDescent="0.25">
      <c r="A298" s="1" t="s">
        <v>4246</v>
      </c>
      <c r="B298" s="1" t="s">
        <v>3844</v>
      </c>
      <c r="C298" s="2">
        <v>44727</v>
      </c>
      <c r="D298" s="6">
        <v>159.97999999999999</v>
      </c>
      <c r="E298" s="6">
        <v>191.88</v>
      </c>
      <c r="F298" s="1" t="s">
        <v>468</v>
      </c>
      <c r="G298" s="14" t="s">
        <v>3398</v>
      </c>
      <c r="H298" s="1" t="s">
        <v>1098</v>
      </c>
      <c r="I298" s="22" t="s">
        <v>1189</v>
      </c>
      <c r="J298" s="1" t="s">
        <v>3845</v>
      </c>
    </row>
    <row r="299" spans="1:10" x14ac:dyDescent="0.25">
      <c r="A299" s="1" t="s">
        <v>4247</v>
      </c>
      <c r="B299" s="1" t="s">
        <v>3846</v>
      </c>
      <c r="C299" s="2">
        <v>44727</v>
      </c>
      <c r="D299" s="6">
        <v>228.55</v>
      </c>
      <c r="E299" s="6">
        <v>274.26</v>
      </c>
      <c r="F299" s="1" t="s">
        <v>468</v>
      </c>
      <c r="G299" s="14" t="s">
        <v>3398</v>
      </c>
      <c r="H299" s="1" t="s">
        <v>1098</v>
      </c>
      <c r="I299" s="22" t="s">
        <v>1189</v>
      </c>
      <c r="J299" s="1" t="s">
        <v>3847</v>
      </c>
    </row>
    <row r="300" spans="1:10" x14ac:dyDescent="0.25">
      <c r="A300" s="1" t="s">
        <v>4248</v>
      </c>
      <c r="B300" s="1" t="s">
        <v>3848</v>
      </c>
      <c r="C300" s="2">
        <v>44727</v>
      </c>
      <c r="D300" s="6">
        <v>2918.52</v>
      </c>
      <c r="E300" s="6">
        <v>3502.22</v>
      </c>
      <c r="F300" s="1" t="s">
        <v>468</v>
      </c>
      <c r="G300" s="14" t="s">
        <v>3398</v>
      </c>
      <c r="H300" s="1" t="s">
        <v>1098</v>
      </c>
      <c r="I300" s="22" t="s">
        <v>1189</v>
      </c>
      <c r="J300" s="1" t="s">
        <v>3849</v>
      </c>
    </row>
    <row r="301" spans="1:10" x14ac:dyDescent="0.25">
      <c r="A301" s="1" t="s">
        <v>4249</v>
      </c>
      <c r="B301" s="1" t="s">
        <v>3850</v>
      </c>
      <c r="C301" s="2">
        <v>44727</v>
      </c>
      <c r="D301" s="6"/>
      <c r="E301" s="6">
        <v>27</v>
      </c>
      <c r="F301" s="1" t="s">
        <v>469</v>
      </c>
      <c r="G301" s="14" t="s">
        <v>3851</v>
      </c>
      <c r="H301" s="1"/>
      <c r="I301" s="22"/>
      <c r="J301" s="1" t="s">
        <v>3769</v>
      </c>
    </row>
    <row r="302" spans="1:10" x14ac:dyDescent="0.25">
      <c r="A302" s="1" t="s">
        <v>4250</v>
      </c>
      <c r="B302" s="1" t="s">
        <v>3852</v>
      </c>
      <c r="C302" s="2">
        <v>44727</v>
      </c>
      <c r="D302" s="6"/>
      <c r="E302" s="6">
        <v>196</v>
      </c>
      <c r="F302" s="1" t="s">
        <v>469</v>
      </c>
      <c r="G302" s="14" t="s">
        <v>3407</v>
      </c>
      <c r="H302" s="1"/>
      <c r="I302" s="22"/>
      <c r="J302" s="1" t="s">
        <v>3853</v>
      </c>
    </row>
    <row r="303" spans="1:10" x14ac:dyDescent="0.25">
      <c r="A303" s="1" t="s">
        <v>4251</v>
      </c>
      <c r="B303" s="1" t="s">
        <v>3878</v>
      </c>
      <c r="C303" s="2">
        <v>44732</v>
      </c>
      <c r="D303" s="6"/>
      <c r="E303" s="6">
        <v>9010</v>
      </c>
      <c r="F303" s="1" t="s">
        <v>3509</v>
      </c>
      <c r="G303" s="14"/>
      <c r="H303" s="1"/>
      <c r="I303" s="22" t="s">
        <v>1108</v>
      </c>
      <c r="J303" s="1" t="s">
        <v>4435</v>
      </c>
    </row>
    <row r="304" spans="1:10" x14ac:dyDescent="0.25">
      <c r="A304" s="1" t="s">
        <v>4252</v>
      </c>
      <c r="B304" s="1" t="s">
        <v>3854</v>
      </c>
      <c r="C304" s="2">
        <v>44732</v>
      </c>
      <c r="D304" s="6">
        <v>60</v>
      </c>
      <c r="E304" s="6">
        <v>72</v>
      </c>
      <c r="F304" s="1" t="s">
        <v>3855</v>
      </c>
      <c r="G304" s="14" t="s">
        <v>3856</v>
      </c>
      <c r="H304" s="1" t="s">
        <v>3857</v>
      </c>
      <c r="I304" s="22"/>
      <c r="J304" s="1" t="s">
        <v>2703</v>
      </c>
    </row>
    <row r="305" spans="1:10" x14ac:dyDescent="0.25">
      <c r="A305" s="1" t="s">
        <v>4253</v>
      </c>
      <c r="B305" s="1" t="s">
        <v>3859</v>
      </c>
      <c r="C305" s="2">
        <v>44732</v>
      </c>
      <c r="D305" s="6">
        <v>60</v>
      </c>
      <c r="E305" s="6">
        <v>72</v>
      </c>
      <c r="F305" s="1" t="s">
        <v>3855</v>
      </c>
      <c r="G305" s="14" t="s">
        <v>3856</v>
      </c>
      <c r="H305" s="1" t="s">
        <v>3857</v>
      </c>
      <c r="I305" s="22"/>
      <c r="J305" s="1" t="s">
        <v>3858</v>
      </c>
    </row>
    <row r="306" spans="1:10" x14ac:dyDescent="0.25">
      <c r="A306" s="1" t="s">
        <v>4254</v>
      </c>
      <c r="B306" s="1" t="s">
        <v>3860</v>
      </c>
      <c r="C306" s="2">
        <v>44728</v>
      </c>
      <c r="D306" s="6">
        <v>58.5</v>
      </c>
      <c r="E306" s="6">
        <v>70.2</v>
      </c>
      <c r="F306" s="1" t="s">
        <v>470</v>
      </c>
      <c r="G306" s="14" t="s">
        <v>3399</v>
      </c>
      <c r="H306" s="1" t="s">
        <v>1101</v>
      </c>
      <c r="I306" s="22" t="s">
        <v>3400</v>
      </c>
      <c r="J306" s="1" t="s">
        <v>3861</v>
      </c>
    </row>
    <row r="307" spans="1:10" x14ac:dyDescent="0.25">
      <c r="A307" s="1" t="s">
        <v>4255</v>
      </c>
      <c r="B307" s="1" t="s">
        <v>3549</v>
      </c>
      <c r="C307" s="2">
        <v>44727</v>
      </c>
      <c r="D307" s="6">
        <v>30</v>
      </c>
      <c r="E307" s="6">
        <v>36</v>
      </c>
      <c r="F307" s="1" t="s">
        <v>472</v>
      </c>
      <c r="G307" s="14" t="s">
        <v>3415</v>
      </c>
      <c r="H307" s="1" t="s">
        <v>1151</v>
      </c>
      <c r="I307" s="22"/>
      <c r="J307" s="1" t="s">
        <v>3862</v>
      </c>
    </row>
    <row r="308" spans="1:10" x14ac:dyDescent="0.25">
      <c r="A308" s="1" t="s">
        <v>4256</v>
      </c>
      <c r="B308" s="1" t="s">
        <v>3863</v>
      </c>
      <c r="C308" s="2">
        <v>44732</v>
      </c>
      <c r="D308" s="6">
        <v>12682.5</v>
      </c>
      <c r="E308" s="6">
        <v>15219</v>
      </c>
      <c r="F308" s="1" t="s">
        <v>468</v>
      </c>
      <c r="G308" s="14" t="s">
        <v>3398</v>
      </c>
      <c r="H308" s="1" t="s">
        <v>1098</v>
      </c>
      <c r="I308" s="22" t="s">
        <v>1189</v>
      </c>
      <c r="J308" s="1" t="s">
        <v>3864</v>
      </c>
    </row>
    <row r="309" spans="1:10" x14ac:dyDescent="0.25">
      <c r="A309" s="1" t="s">
        <v>4257</v>
      </c>
      <c r="B309" s="1" t="s">
        <v>3865</v>
      </c>
      <c r="C309" s="2">
        <v>44732</v>
      </c>
      <c r="D309" s="6">
        <v>1027.42</v>
      </c>
      <c r="E309" s="6">
        <v>1232.9000000000001</v>
      </c>
      <c r="F309" s="1" t="s">
        <v>468</v>
      </c>
      <c r="G309" s="14" t="s">
        <v>3398</v>
      </c>
      <c r="H309" s="1" t="s">
        <v>1098</v>
      </c>
      <c r="I309" s="22" t="s">
        <v>1189</v>
      </c>
      <c r="J309" s="1" t="s">
        <v>3866</v>
      </c>
    </row>
    <row r="310" spans="1:10" x14ac:dyDescent="0.25">
      <c r="A310" s="1" t="s">
        <v>4258</v>
      </c>
      <c r="B310" s="1" t="s">
        <v>3867</v>
      </c>
      <c r="C310" s="2">
        <v>44732</v>
      </c>
      <c r="D310" s="6">
        <v>582.19000000000005</v>
      </c>
      <c r="E310" s="6">
        <v>698.63</v>
      </c>
      <c r="F310" s="1" t="s">
        <v>468</v>
      </c>
      <c r="G310" s="14" t="s">
        <v>3398</v>
      </c>
      <c r="H310" s="1" t="s">
        <v>1098</v>
      </c>
      <c r="I310" s="22" t="s">
        <v>1189</v>
      </c>
      <c r="J310" s="1" t="s">
        <v>3868</v>
      </c>
    </row>
    <row r="311" spans="1:10" x14ac:dyDescent="0.25">
      <c r="A311" s="1" t="s">
        <v>4259</v>
      </c>
      <c r="B311" s="1" t="s">
        <v>3869</v>
      </c>
      <c r="C311" s="2">
        <v>44732</v>
      </c>
      <c r="D311" s="6">
        <v>5085.21</v>
      </c>
      <c r="E311" s="6">
        <v>6102.25</v>
      </c>
      <c r="F311" s="1" t="s">
        <v>468</v>
      </c>
      <c r="G311" s="14" t="s">
        <v>3398</v>
      </c>
      <c r="H311" s="1" t="s">
        <v>1098</v>
      </c>
      <c r="I311" s="22" t="s">
        <v>1189</v>
      </c>
      <c r="J311" s="1" t="s">
        <v>3870</v>
      </c>
    </row>
    <row r="312" spans="1:10" x14ac:dyDescent="0.25">
      <c r="A312" s="1" t="s">
        <v>4260</v>
      </c>
      <c r="B312" s="1" t="s">
        <v>3871</v>
      </c>
      <c r="C312" s="2">
        <v>44732</v>
      </c>
      <c r="D312" s="6">
        <v>832.5</v>
      </c>
      <c r="E312" s="6">
        <v>999</v>
      </c>
      <c r="F312" s="1" t="s">
        <v>468</v>
      </c>
      <c r="G312" s="14" t="s">
        <v>3398</v>
      </c>
      <c r="H312" s="1" t="s">
        <v>1098</v>
      </c>
      <c r="I312" s="22" t="s">
        <v>1189</v>
      </c>
      <c r="J312" s="1" t="s">
        <v>3386</v>
      </c>
    </row>
    <row r="313" spans="1:10" x14ac:dyDescent="0.25">
      <c r="A313" s="1" t="s">
        <v>4261</v>
      </c>
      <c r="B313" s="1" t="s">
        <v>3872</v>
      </c>
      <c r="C313" s="2">
        <v>44732</v>
      </c>
      <c r="D313" s="6">
        <v>3610</v>
      </c>
      <c r="E313" s="6">
        <v>4332</v>
      </c>
      <c r="F313" s="1" t="s">
        <v>468</v>
      </c>
      <c r="G313" s="14" t="s">
        <v>3398</v>
      </c>
      <c r="H313" s="1" t="s">
        <v>1098</v>
      </c>
      <c r="I313" s="22" t="s">
        <v>1189</v>
      </c>
      <c r="J313" s="1" t="s">
        <v>3873</v>
      </c>
    </row>
    <row r="314" spans="1:10" x14ac:dyDescent="0.25">
      <c r="A314" s="1" t="s">
        <v>4262</v>
      </c>
      <c r="B314" s="1" t="s">
        <v>3874</v>
      </c>
      <c r="C314" s="2">
        <v>44734</v>
      </c>
      <c r="D314" s="6">
        <v>2496.59</v>
      </c>
      <c r="E314" s="6">
        <v>2995.91</v>
      </c>
      <c r="F314" s="1" t="s">
        <v>468</v>
      </c>
      <c r="G314" s="14" t="s">
        <v>3398</v>
      </c>
      <c r="H314" s="1" t="s">
        <v>1098</v>
      </c>
      <c r="I314" s="22" t="s">
        <v>1189</v>
      </c>
      <c r="J314" s="1" t="s">
        <v>3875</v>
      </c>
    </row>
    <row r="315" spans="1:10" x14ac:dyDescent="0.25">
      <c r="A315" s="1" t="s">
        <v>4263</v>
      </c>
      <c r="B315" s="1" t="s">
        <v>3876</v>
      </c>
      <c r="C315" s="2">
        <v>44732</v>
      </c>
      <c r="D315" s="6">
        <v>60</v>
      </c>
      <c r="E315" s="6">
        <v>72</v>
      </c>
      <c r="F315" s="1" t="s">
        <v>3855</v>
      </c>
      <c r="G315" s="14" t="s">
        <v>3856</v>
      </c>
      <c r="H315" s="1" t="s">
        <v>3857</v>
      </c>
      <c r="I315" s="22"/>
      <c r="J315" s="1" t="s">
        <v>3877</v>
      </c>
    </row>
    <row r="316" spans="1:10" x14ac:dyDescent="0.25">
      <c r="A316" s="1" t="s">
        <v>4264</v>
      </c>
      <c r="B316" s="1" t="s">
        <v>3879</v>
      </c>
      <c r="C316" s="2">
        <v>44729</v>
      </c>
      <c r="D316" s="6">
        <v>117</v>
      </c>
      <c r="E316" s="6">
        <v>140.4</v>
      </c>
      <c r="F316" s="1" t="s">
        <v>470</v>
      </c>
      <c r="G316" s="14" t="s">
        <v>3399</v>
      </c>
      <c r="H316" s="1" t="s">
        <v>1101</v>
      </c>
      <c r="I316" s="22" t="s">
        <v>3400</v>
      </c>
      <c r="J316" s="1" t="s">
        <v>3880</v>
      </c>
    </row>
    <row r="317" spans="1:10" x14ac:dyDescent="0.25">
      <c r="A317" s="1" t="s">
        <v>4265</v>
      </c>
      <c r="B317" s="1" t="s">
        <v>3881</v>
      </c>
      <c r="C317" s="2">
        <v>44729</v>
      </c>
      <c r="D317" s="6">
        <v>41.8</v>
      </c>
      <c r="E317" s="6">
        <v>50.16</v>
      </c>
      <c r="F317" s="1" t="s">
        <v>470</v>
      </c>
      <c r="G317" s="14" t="s">
        <v>3399</v>
      </c>
      <c r="H317" s="1" t="s">
        <v>1101</v>
      </c>
      <c r="I317" s="22" t="s">
        <v>3400</v>
      </c>
      <c r="J317" s="1" t="s">
        <v>3882</v>
      </c>
    </row>
    <row r="318" spans="1:10" x14ac:dyDescent="0.25">
      <c r="A318" s="1" t="s">
        <v>4266</v>
      </c>
      <c r="B318" s="1" t="s">
        <v>3883</v>
      </c>
      <c r="C318" s="2">
        <v>44734</v>
      </c>
      <c r="D318" s="6"/>
      <c r="E318" s="6">
        <v>28</v>
      </c>
      <c r="F318" s="1" t="s">
        <v>469</v>
      </c>
      <c r="G318" s="14" t="s">
        <v>3407</v>
      </c>
      <c r="H318" s="1"/>
      <c r="I318" s="22"/>
      <c r="J318" s="1" t="s">
        <v>3884</v>
      </c>
    </row>
    <row r="319" spans="1:10" x14ac:dyDescent="0.25">
      <c r="A319" s="1" t="s">
        <v>4267</v>
      </c>
      <c r="B319" s="1" t="s">
        <v>3885</v>
      </c>
      <c r="C319" s="2">
        <v>44734</v>
      </c>
      <c r="D319" s="6"/>
      <c r="E319" s="6">
        <v>45</v>
      </c>
      <c r="F319" s="1" t="s">
        <v>469</v>
      </c>
      <c r="G319" s="14" t="s">
        <v>3407</v>
      </c>
      <c r="H319" s="1"/>
      <c r="I319" s="22"/>
      <c r="J319" s="1" t="s">
        <v>3886</v>
      </c>
    </row>
    <row r="320" spans="1:10" x14ac:dyDescent="0.25">
      <c r="A320" s="1" t="s">
        <v>4268</v>
      </c>
      <c r="B320" s="1" t="s">
        <v>3887</v>
      </c>
      <c r="C320" s="2">
        <v>44734</v>
      </c>
      <c r="D320" s="6"/>
      <c r="E320" s="6">
        <v>16.5</v>
      </c>
      <c r="F320" s="1" t="s">
        <v>469</v>
      </c>
      <c r="G320" s="14" t="s">
        <v>3407</v>
      </c>
      <c r="H320" s="1"/>
      <c r="I320" s="22"/>
      <c r="J320" s="1" t="s">
        <v>3888</v>
      </c>
    </row>
    <row r="321" spans="1:10" x14ac:dyDescent="0.25">
      <c r="A321" s="1" t="s">
        <v>4269</v>
      </c>
      <c r="B321" s="1" t="s">
        <v>3889</v>
      </c>
      <c r="C321" s="2">
        <v>44734</v>
      </c>
      <c r="D321" s="6"/>
      <c r="E321" s="6">
        <v>111</v>
      </c>
      <c r="F321" s="1" t="s">
        <v>469</v>
      </c>
      <c r="G321" s="14" t="s">
        <v>3407</v>
      </c>
      <c r="H321" s="1"/>
      <c r="I321" s="22"/>
      <c r="J321" s="1" t="s">
        <v>3890</v>
      </c>
    </row>
    <row r="322" spans="1:10" x14ac:dyDescent="0.25">
      <c r="A322" s="1" t="s">
        <v>4270</v>
      </c>
      <c r="B322" s="1" t="s">
        <v>3891</v>
      </c>
      <c r="C322" s="2">
        <v>44733</v>
      </c>
      <c r="D322" s="6">
        <v>51.96</v>
      </c>
      <c r="E322" s="6">
        <v>62.35</v>
      </c>
      <c r="F322" s="1" t="s">
        <v>472</v>
      </c>
      <c r="G322" s="14" t="s">
        <v>3415</v>
      </c>
      <c r="H322" s="1" t="s">
        <v>1151</v>
      </c>
      <c r="I322" s="22"/>
      <c r="J322" s="1" t="s">
        <v>3892</v>
      </c>
    </row>
    <row r="323" spans="1:10" x14ac:dyDescent="0.25">
      <c r="A323" s="1" t="s">
        <v>4271</v>
      </c>
      <c r="B323" s="1" t="s">
        <v>3893</v>
      </c>
      <c r="C323" s="2">
        <v>44733</v>
      </c>
      <c r="D323" s="6">
        <v>45.54</v>
      </c>
      <c r="E323" s="6">
        <v>54.65</v>
      </c>
      <c r="F323" s="1" t="s">
        <v>472</v>
      </c>
      <c r="G323" s="14" t="s">
        <v>3415</v>
      </c>
      <c r="H323" s="1" t="s">
        <v>1151</v>
      </c>
      <c r="I323" s="22"/>
      <c r="J323" s="1" t="s">
        <v>3892</v>
      </c>
    </row>
    <row r="324" spans="1:10" x14ac:dyDescent="0.25">
      <c r="A324" s="1" t="s">
        <v>4272</v>
      </c>
      <c r="B324" s="1" t="s">
        <v>3894</v>
      </c>
      <c r="C324" s="2">
        <v>44735</v>
      </c>
      <c r="D324" s="6"/>
      <c r="E324" s="6">
        <v>2450</v>
      </c>
      <c r="F324" s="1" t="s">
        <v>3562</v>
      </c>
      <c r="G324" s="14" t="s">
        <v>3563</v>
      </c>
      <c r="H324" s="1" t="s">
        <v>1128</v>
      </c>
      <c r="I324" s="22" t="s">
        <v>3628</v>
      </c>
      <c r="J324" s="1" t="s">
        <v>3895</v>
      </c>
    </row>
    <row r="325" spans="1:10" x14ac:dyDescent="0.25">
      <c r="A325" s="1" t="s">
        <v>4273</v>
      </c>
      <c r="B325" s="1" t="s">
        <v>3896</v>
      </c>
      <c r="C325" s="2">
        <v>44736</v>
      </c>
      <c r="D325" s="6">
        <v>172.5</v>
      </c>
      <c r="E325" s="6">
        <v>207</v>
      </c>
      <c r="F325" s="1" t="s">
        <v>3897</v>
      </c>
      <c r="G325" s="14" t="s">
        <v>3898</v>
      </c>
      <c r="H325" s="1" t="s">
        <v>1135</v>
      </c>
      <c r="I325" s="22" t="s">
        <v>3900</v>
      </c>
      <c r="J325" s="1" t="s">
        <v>3899</v>
      </c>
    </row>
    <row r="326" spans="1:10" x14ac:dyDescent="0.25">
      <c r="A326" s="1" t="s">
        <v>4274</v>
      </c>
      <c r="B326" s="1" t="s">
        <v>3901</v>
      </c>
      <c r="C326" s="2">
        <v>44746</v>
      </c>
      <c r="D326" s="6"/>
      <c r="E326" s="6">
        <v>21.5</v>
      </c>
      <c r="F326" s="1" t="s">
        <v>469</v>
      </c>
      <c r="G326" s="14" t="s">
        <v>3851</v>
      </c>
      <c r="H326" s="1"/>
      <c r="I326" s="22"/>
      <c r="J326" s="1" t="s">
        <v>3902</v>
      </c>
    </row>
    <row r="327" spans="1:10" x14ac:dyDescent="0.25">
      <c r="A327" s="1" t="s">
        <v>4275</v>
      </c>
      <c r="B327" s="1" t="s">
        <v>3903</v>
      </c>
      <c r="C327" s="2">
        <v>44746</v>
      </c>
      <c r="D327" s="6">
        <v>60</v>
      </c>
      <c r="E327" s="6">
        <v>72</v>
      </c>
      <c r="F327" s="1" t="s">
        <v>3904</v>
      </c>
      <c r="G327" s="14" t="s">
        <v>3905</v>
      </c>
      <c r="H327" s="1" t="s">
        <v>3906</v>
      </c>
      <c r="I327" s="22"/>
      <c r="J327" s="1" t="s">
        <v>3907</v>
      </c>
    </row>
    <row r="328" spans="1:10" x14ac:dyDescent="0.25">
      <c r="A328" s="1" t="s">
        <v>4276</v>
      </c>
      <c r="B328" s="1" t="s">
        <v>3912</v>
      </c>
      <c r="C328" s="2">
        <v>44746</v>
      </c>
      <c r="D328" s="6">
        <v>49.44</v>
      </c>
      <c r="E328" s="6">
        <v>49.44</v>
      </c>
      <c r="F328" s="1" t="s">
        <v>3904</v>
      </c>
      <c r="G328" s="14" t="s">
        <v>3905</v>
      </c>
      <c r="H328" s="1" t="s">
        <v>3906</v>
      </c>
      <c r="I328" s="22"/>
      <c r="J328" s="1" t="s">
        <v>3907</v>
      </c>
    </row>
    <row r="329" spans="1:10" x14ac:dyDescent="0.25">
      <c r="A329" s="1" t="s">
        <v>4277</v>
      </c>
      <c r="B329" s="1" t="s">
        <v>3908</v>
      </c>
      <c r="C329" s="2">
        <v>44746</v>
      </c>
      <c r="D329" s="6">
        <v>57.96</v>
      </c>
      <c r="E329" s="6">
        <v>57.96</v>
      </c>
      <c r="F329" s="1" t="s">
        <v>3911</v>
      </c>
      <c r="G329" s="14" t="s">
        <v>3905</v>
      </c>
      <c r="H329" s="1" t="s">
        <v>3906</v>
      </c>
      <c r="I329" s="22"/>
      <c r="J329" s="1" t="s">
        <v>3907</v>
      </c>
    </row>
    <row r="330" spans="1:10" x14ac:dyDescent="0.25">
      <c r="A330" s="1" t="s">
        <v>4278</v>
      </c>
      <c r="B330" s="1" t="s">
        <v>3909</v>
      </c>
      <c r="C330" s="2">
        <v>44748</v>
      </c>
      <c r="D330" s="6">
        <v>2064.4699999999998</v>
      </c>
      <c r="E330" s="6">
        <v>2477.36</v>
      </c>
      <c r="F330" s="1" t="s">
        <v>470</v>
      </c>
      <c r="G330" s="14" t="s">
        <v>3399</v>
      </c>
      <c r="H330" s="1" t="s">
        <v>1101</v>
      </c>
      <c r="I330" s="22" t="s">
        <v>3400</v>
      </c>
      <c r="J330" s="1" t="s">
        <v>3910</v>
      </c>
    </row>
    <row r="331" spans="1:10" x14ac:dyDescent="0.25">
      <c r="A331" s="1" t="s">
        <v>4279</v>
      </c>
      <c r="B331" s="1" t="s">
        <v>3913</v>
      </c>
      <c r="C331" s="2">
        <v>44749</v>
      </c>
      <c r="D331" s="6"/>
      <c r="E331" s="6">
        <v>936</v>
      </c>
      <c r="F331" s="1" t="s">
        <v>473</v>
      </c>
      <c r="G331" s="14" t="s">
        <v>3403</v>
      </c>
      <c r="H331" s="1" t="s">
        <v>1109</v>
      </c>
      <c r="I331" s="22" t="s">
        <v>3404</v>
      </c>
      <c r="J331" s="1" t="s">
        <v>3914</v>
      </c>
    </row>
    <row r="332" spans="1:10" x14ac:dyDescent="0.25">
      <c r="A332" s="1" t="s">
        <v>4280</v>
      </c>
      <c r="B332" s="1" t="s">
        <v>3915</v>
      </c>
      <c r="C332" s="2">
        <v>44749</v>
      </c>
      <c r="D332" s="6">
        <v>1680</v>
      </c>
      <c r="E332" s="6">
        <v>2016</v>
      </c>
      <c r="F332" s="1" t="s">
        <v>2597</v>
      </c>
      <c r="G332" s="14" t="s">
        <v>3401</v>
      </c>
      <c r="H332" s="1" t="s">
        <v>2598</v>
      </c>
      <c r="I332" s="22" t="s">
        <v>3402</v>
      </c>
      <c r="J332" s="1" t="s">
        <v>3916</v>
      </c>
    </row>
    <row r="333" spans="1:10" x14ac:dyDescent="0.25">
      <c r="A333" s="1" t="s">
        <v>4281</v>
      </c>
      <c r="B333" s="1" t="s">
        <v>3917</v>
      </c>
      <c r="C333" s="2">
        <v>44750</v>
      </c>
      <c r="D333" s="6">
        <v>264</v>
      </c>
      <c r="E333" s="6">
        <v>316.8</v>
      </c>
      <c r="F333" s="1" t="s">
        <v>488</v>
      </c>
      <c r="G333" s="14" t="s">
        <v>3446</v>
      </c>
      <c r="H333" s="1" t="s">
        <v>1137</v>
      </c>
      <c r="I333" s="22" t="s">
        <v>3447</v>
      </c>
      <c r="J333" s="1" t="s">
        <v>3918</v>
      </c>
    </row>
    <row r="334" spans="1:10" x14ac:dyDescent="0.25">
      <c r="A334" s="1" t="s">
        <v>4282</v>
      </c>
      <c r="B334" s="1" t="s">
        <v>3919</v>
      </c>
      <c r="C334" s="2">
        <v>44750</v>
      </c>
      <c r="D334" s="6">
        <v>3614.38</v>
      </c>
      <c r="E334" s="6">
        <v>4337.26</v>
      </c>
      <c r="F334" s="1" t="s">
        <v>3920</v>
      </c>
      <c r="G334" s="14" t="s">
        <v>3921</v>
      </c>
      <c r="H334" s="1" t="s">
        <v>1198</v>
      </c>
      <c r="I334" s="22"/>
      <c r="J334" s="1" t="s">
        <v>3922</v>
      </c>
    </row>
    <row r="335" spans="1:10" x14ac:dyDescent="0.25">
      <c r="A335" s="1" t="s">
        <v>4283</v>
      </c>
      <c r="B335" s="1" t="s">
        <v>3923</v>
      </c>
      <c r="C335" s="2">
        <v>44750</v>
      </c>
      <c r="D335" s="6">
        <v>19420.099999999999</v>
      </c>
      <c r="E335" s="6">
        <v>23304.12</v>
      </c>
      <c r="F335" s="1" t="s">
        <v>468</v>
      </c>
      <c r="G335" s="14" t="s">
        <v>3398</v>
      </c>
      <c r="H335" s="1" t="s">
        <v>1098</v>
      </c>
      <c r="I335" s="22" t="s">
        <v>1189</v>
      </c>
      <c r="J335" s="1" t="s">
        <v>3924</v>
      </c>
    </row>
    <row r="336" spans="1:10" x14ac:dyDescent="0.25">
      <c r="A336" s="1" t="s">
        <v>4284</v>
      </c>
      <c r="B336" s="1" t="s">
        <v>3925</v>
      </c>
      <c r="C336" s="2">
        <v>44750</v>
      </c>
      <c r="D336" s="6">
        <v>3592.5</v>
      </c>
      <c r="E336" s="6">
        <v>4311</v>
      </c>
      <c r="F336" s="1" t="s">
        <v>468</v>
      </c>
      <c r="G336" s="14" t="s">
        <v>3398</v>
      </c>
      <c r="H336" s="1" t="s">
        <v>1098</v>
      </c>
      <c r="I336" s="22" t="s">
        <v>1189</v>
      </c>
      <c r="J336" s="1" t="s">
        <v>3926</v>
      </c>
    </row>
    <row r="337" spans="1:10" x14ac:dyDescent="0.25">
      <c r="A337" s="1" t="s">
        <v>4285</v>
      </c>
      <c r="B337" s="1" t="s">
        <v>3927</v>
      </c>
      <c r="C337" s="2">
        <v>44750</v>
      </c>
      <c r="D337" s="6">
        <v>18.670000000000002</v>
      </c>
      <c r="E337" s="6">
        <v>22.4</v>
      </c>
      <c r="F337" s="1" t="s">
        <v>468</v>
      </c>
      <c r="G337" s="14" t="s">
        <v>3398</v>
      </c>
      <c r="H337" s="1" t="s">
        <v>1098</v>
      </c>
      <c r="I337" s="22" t="s">
        <v>1189</v>
      </c>
      <c r="J337" s="1" t="s">
        <v>3928</v>
      </c>
    </row>
    <row r="338" spans="1:10" x14ac:dyDescent="0.25">
      <c r="A338" s="1" t="s">
        <v>4286</v>
      </c>
      <c r="B338" s="1" t="s">
        <v>3929</v>
      </c>
      <c r="C338" s="2">
        <v>44750</v>
      </c>
      <c r="D338" s="6">
        <v>3566.67</v>
      </c>
      <c r="E338" s="6">
        <v>4280</v>
      </c>
      <c r="F338" s="1" t="s">
        <v>468</v>
      </c>
      <c r="G338" s="14" t="s">
        <v>3398</v>
      </c>
      <c r="H338" s="1" t="s">
        <v>1098</v>
      </c>
      <c r="I338" s="22" t="s">
        <v>1189</v>
      </c>
      <c r="J338" s="1" t="s">
        <v>3930</v>
      </c>
    </row>
    <row r="339" spans="1:10" x14ac:dyDescent="0.25">
      <c r="A339" s="1" t="s">
        <v>4287</v>
      </c>
      <c r="B339" s="1" t="s">
        <v>3931</v>
      </c>
      <c r="C339" s="2">
        <v>44750</v>
      </c>
      <c r="D339" s="6">
        <v>3141.42</v>
      </c>
      <c r="E339" s="6">
        <v>3769.71</v>
      </c>
      <c r="F339" s="1" t="s">
        <v>468</v>
      </c>
      <c r="G339" s="14" t="s">
        <v>3398</v>
      </c>
      <c r="H339" s="1" t="s">
        <v>1098</v>
      </c>
      <c r="I339" s="22" t="s">
        <v>1189</v>
      </c>
      <c r="J339" s="1" t="s">
        <v>3932</v>
      </c>
    </row>
    <row r="340" spans="1:10" x14ac:dyDescent="0.25">
      <c r="A340" s="1" t="s">
        <v>4288</v>
      </c>
      <c r="B340" s="1" t="s">
        <v>3933</v>
      </c>
      <c r="C340" s="2">
        <v>44752</v>
      </c>
      <c r="D340" s="6">
        <v>165.96</v>
      </c>
      <c r="E340" s="6">
        <v>199.15</v>
      </c>
      <c r="F340" s="1" t="s">
        <v>466</v>
      </c>
      <c r="G340" s="14" t="s">
        <v>3406</v>
      </c>
      <c r="H340" s="1" t="s">
        <v>1105</v>
      </c>
      <c r="I340" s="22" t="s">
        <v>3405</v>
      </c>
      <c r="J340" s="1" t="s">
        <v>3934</v>
      </c>
    </row>
    <row r="341" spans="1:10" x14ac:dyDescent="0.25">
      <c r="A341" s="1" t="s">
        <v>4289</v>
      </c>
      <c r="B341" s="1" t="s">
        <v>3935</v>
      </c>
      <c r="C341" s="2">
        <v>44753</v>
      </c>
      <c r="D341" s="6">
        <v>26.4</v>
      </c>
      <c r="E341" s="6">
        <v>26.4</v>
      </c>
      <c r="F341" s="1" t="s">
        <v>468</v>
      </c>
      <c r="G341" s="14" t="s">
        <v>3398</v>
      </c>
      <c r="H341" s="1" t="s">
        <v>1098</v>
      </c>
      <c r="I341" s="22" t="s">
        <v>1189</v>
      </c>
      <c r="J341" s="1" t="s">
        <v>3936</v>
      </c>
    </row>
    <row r="342" spans="1:10" x14ac:dyDescent="0.25">
      <c r="A342" s="1" t="s">
        <v>4290</v>
      </c>
      <c r="B342" s="1" t="s">
        <v>3937</v>
      </c>
      <c r="C342" s="2">
        <v>44753</v>
      </c>
      <c r="D342" s="6">
        <v>164.5</v>
      </c>
      <c r="E342" s="6">
        <v>197.4</v>
      </c>
      <c r="F342" s="1" t="s">
        <v>472</v>
      </c>
      <c r="G342" s="14" t="s">
        <v>3415</v>
      </c>
      <c r="H342" s="1" t="s">
        <v>1151</v>
      </c>
      <c r="I342" s="22"/>
      <c r="J342" s="1" t="s">
        <v>3938</v>
      </c>
    </row>
    <row r="343" spans="1:10" x14ac:dyDescent="0.25">
      <c r="A343" s="1" t="s">
        <v>4291</v>
      </c>
      <c r="B343" s="1" t="s">
        <v>3939</v>
      </c>
      <c r="C343" s="2">
        <v>44753</v>
      </c>
      <c r="D343" s="6">
        <v>13.87</v>
      </c>
      <c r="E343" s="6">
        <v>16.64</v>
      </c>
      <c r="F343" s="1" t="s">
        <v>504</v>
      </c>
      <c r="G343" s="14" t="s">
        <v>3409</v>
      </c>
      <c r="H343" s="1" t="s">
        <v>1107</v>
      </c>
      <c r="I343" s="22" t="s">
        <v>3410</v>
      </c>
      <c r="J343" s="1" t="s">
        <v>3940</v>
      </c>
    </row>
    <row r="344" spans="1:10" x14ac:dyDescent="0.25">
      <c r="A344" s="1" t="s">
        <v>4292</v>
      </c>
      <c r="B344" s="1" t="s">
        <v>3941</v>
      </c>
      <c r="C344" s="2">
        <v>44755</v>
      </c>
      <c r="D344" s="6">
        <v>228.55</v>
      </c>
      <c r="E344" s="6">
        <v>274.26</v>
      </c>
      <c r="F344" s="1" t="s">
        <v>468</v>
      </c>
      <c r="G344" s="14" t="s">
        <v>3398</v>
      </c>
      <c r="H344" s="1" t="s">
        <v>1098</v>
      </c>
      <c r="I344" s="22" t="s">
        <v>1189</v>
      </c>
      <c r="J344" s="1" t="s">
        <v>3847</v>
      </c>
    </row>
    <row r="345" spans="1:10" x14ac:dyDescent="0.25">
      <c r="A345" s="1" t="s">
        <v>4293</v>
      </c>
      <c r="B345" s="1" t="s">
        <v>3942</v>
      </c>
      <c r="C345" s="2">
        <v>44755</v>
      </c>
      <c r="D345" s="6">
        <v>97.63</v>
      </c>
      <c r="E345" s="6">
        <v>117.16</v>
      </c>
      <c r="F345" s="1" t="s">
        <v>468</v>
      </c>
      <c r="G345" s="14" t="s">
        <v>3398</v>
      </c>
      <c r="H345" s="1" t="s">
        <v>1098</v>
      </c>
      <c r="I345" s="22" t="s">
        <v>1189</v>
      </c>
      <c r="J345" s="1" t="s">
        <v>3943</v>
      </c>
    </row>
    <row r="346" spans="1:10" x14ac:dyDescent="0.25">
      <c r="A346" s="1" t="s">
        <v>4294</v>
      </c>
      <c r="B346" s="1" t="s">
        <v>3944</v>
      </c>
      <c r="C346" s="2">
        <v>44755</v>
      </c>
      <c r="D346" s="6">
        <v>-21.17</v>
      </c>
      <c r="E346" s="6">
        <v>-25.4</v>
      </c>
      <c r="F346" s="1" t="s">
        <v>468</v>
      </c>
      <c r="G346" s="14" t="s">
        <v>3398</v>
      </c>
      <c r="H346" s="1" t="s">
        <v>1098</v>
      </c>
      <c r="I346" s="22" t="s">
        <v>1189</v>
      </c>
      <c r="J346" s="1" t="s">
        <v>3845</v>
      </c>
    </row>
    <row r="347" spans="1:10" x14ac:dyDescent="0.25">
      <c r="A347" s="1" t="s">
        <v>4295</v>
      </c>
      <c r="B347" s="1" t="s">
        <v>3945</v>
      </c>
      <c r="C347" s="2">
        <v>44755</v>
      </c>
      <c r="D347" s="6">
        <v>3420.72</v>
      </c>
      <c r="E347" s="6">
        <v>4104.8599999999997</v>
      </c>
      <c r="F347" s="1" t="s">
        <v>468</v>
      </c>
      <c r="G347" s="14" t="s">
        <v>3398</v>
      </c>
      <c r="H347" s="1" t="s">
        <v>1098</v>
      </c>
      <c r="I347" s="22" t="s">
        <v>1189</v>
      </c>
      <c r="J347" s="1" t="s">
        <v>3946</v>
      </c>
    </row>
    <row r="348" spans="1:10" x14ac:dyDescent="0.25">
      <c r="A348" s="1" t="s">
        <v>4296</v>
      </c>
      <c r="B348" s="1" t="s">
        <v>3947</v>
      </c>
      <c r="C348" s="2">
        <v>44755</v>
      </c>
      <c r="D348" s="6">
        <v>618.75</v>
      </c>
      <c r="E348" s="6">
        <v>742.5</v>
      </c>
      <c r="F348" s="1" t="s">
        <v>468</v>
      </c>
      <c r="G348" s="14" t="s">
        <v>3398</v>
      </c>
      <c r="H348" s="1" t="s">
        <v>1098</v>
      </c>
      <c r="I348" s="22" t="s">
        <v>1189</v>
      </c>
      <c r="J348" s="1" t="s">
        <v>3948</v>
      </c>
    </row>
    <row r="349" spans="1:10" x14ac:dyDescent="0.25">
      <c r="A349" s="1" t="s">
        <v>3949</v>
      </c>
      <c r="B349" s="1" t="s">
        <v>4297</v>
      </c>
      <c r="C349" s="2">
        <v>44757</v>
      </c>
      <c r="D349" s="6">
        <v>-3.34</v>
      </c>
      <c r="E349" s="6">
        <v>-4.01</v>
      </c>
      <c r="F349" s="1" t="s">
        <v>468</v>
      </c>
      <c r="G349" s="14" t="s">
        <v>3398</v>
      </c>
      <c r="H349" s="1" t="s">
        <v>1098</v>
      </c>
      <c r="I349" s="22" t="s">
        <v>1189</v>
      </c>
      <c r="J349" s="1" t="s">
        <v>3845</v>
      </c>
    </row>
    <row r="350" spans="1:10" x14ac:dyDescent="0.25">
      <c r="A350" s="1" t="s">
        <v>4298</v>
      </c>
      <c r="B350" s="1" t="s">
        <v>4299</v>
      </c>
      <c r="C350" s="2">
        <v>44757</v>
      </c>
      <c r="D350" s="6">
        <v>836.95</v>
      </c>
      <c r="E350" s="6">
        <v>1004.34</v>
      </c>
      <c r="F350" s="1" t="s">
        <v>468</v>
      </c>
      <c r="G350" s="14" t="s">
        <v>3398</v>
      </c>
      <c r="H350" s="1" t="s">
        <v>1098</v>
      </c>
      <c r="I350" s="22" t="s">
        <v>1189</v>
      </c>
      <c r="J350" s="1" t="s">
        <v>4300</v>
      </c>
    </row>
    <row r="351" spans="1:10" x14ac:dyDescent="0.25">
      <c r="A351" s="1" t="s">
        <v>4301</v>
      </c>
      <c r="B351" s="1" t="s">
        <v>4302</v>
      </c>
      <c r="C351" s="2">
        <v>44757</v>
      </c>
      <c r="D351" s="6">
        <v>72.39</v>
      </c>
      <c r="E351" s="6">
        <v>86.87</v>
      </c>
      <c r="F351" s="1" t="s">
        <v>468</v>
      </c>
      <c r="G351" s="14" t="s">
        <v>3398</v>
      </c>
      <c r="H351" s="1" t="s">
        <v>1098</v>
      </c>
      <c r="I351" s="22" t="s">
        <v>1189</v>
      </c>
      <c r="J351" s="1" t="s">
        <v>3845</v>
      </c>
    </row>
    <row r="352" spans="1:10" x14ac:dyDescent="0.25">
      <c r="A352" s="1" t="s">
        <v>4303</v>
      </c>
      <c r="B352" s="1" t="s">
        <v>4304</v>
      </c>
      <c r="C352" s="2">
        <v>44757</v>
      </c>
      <c r="D352" s="6">
        <v>20855.419999999998</v>
      </c>
      <c r="E352" s="6">
        <v>26214.7</v>
      </c>
      <c r="F352" s="1" t="s">
        <v>475</v>
      </c>
      <c r="G352" s="14" t="s">
        <v>3411</v>
      </c>
      <c r="H352" s="1" t="s">
        <v>1115</v>
      </c>
      <c r="I352" s="22" t="s">
        <v>3412</v>
      </c>
      <c r="J352" s="1" t="s">
        <v>4305</v>
      </c>
    </row>
    <row r="353" spans="1:10" x14ac:dyDescent="0.25">
      <c r="A353" s="1" t="s">
        <v>4306</v>
      </c>
      <c r="B353" s="1" t="s">
        <v>1994</v>
      </c>
      <c r="C353" s="2">
        <v>44748</v>
      </c>
      <c r="D353" s="6"/>
      <c r="E353" s="6">
        <v>5941</v>
      </c>
      <c r="F353" s="1" t="s">
        <v>475</v>
      </c>
      <c r="G353" s="14" t="s">
        <v>3411</v>
      </c>
      <c r="H353" s="1" t="s">
        <v>1115</v>
      </c>
      <c r="I353" s="22" t="s">
        <v>3412</v>
      </c>
      <c r="J353" s="1" t="s">
        <v>4307</v>
      </c>
    </row>
    <row r="354" spans="1:10" x14ac:dyDescent="0.25">
      <c r="A354" s="1" t="s">
        <v>4308</v>
      </c>
      <c r="B354" s="1" t="s">
        <v>4309</v>
      </c>
      <c r="C354" s="2">
        <v>44760</v>
      </c>
      <c r="D354" s="6">
        <v>247.8</v>
      </c>
      <c r="E354" s="6">
        <v>297.36</v>
      </c>
      <c r="F354" s="1" t="s">
        <v>470</v>
      </c>
      <c r="G354" s="14" t="s">
        <v>3399</v>
      </c>
      <c r="H354" s="1" t="s">
        <v>1101</v>
      </c>
      <c r="I354" s="22" t="s">
        <v>3400</v>
      </c>
      <c r="J354" s="1" t="s">
        <v>4310</v>
      </c>
    </row>
    <row r="355" spans="1:10" x14ac:dyDescent="0.25">
      <c r="A355" s="1" t="s">
        <v>4311</v>
      </c>
      <c r="B355" s="1" t="s">
        <v>4318</v>
      </c>
      <c r="C355" s="2">
        <v>44760</v>
      </c>
      <c r="D355" s="6">
        <v>248.56</v>
      </c>
      <c r="E355" s="6">
        <v>298.27</v>
      </c>
      <c r="F355" s="1" t="s">
        <v>472</v>
      </c>
      <c r="G355" s="14" t="s">
        <v>3415</v>
      </c>
      <c r="H355" s="1" t="s">
        <v>1151</v>
      </c>
      <c r="I355" s="22"/>
      <c r="J355" s="1" t="s">
        <v>4319</v>
      </c>
    </row>
    <row r="356" spans="1:10" x14ac:dyDescent="0.25">
      <c r="A356" s="1" t="s">
        <v>4312</v>
      </c>
      <c r="B356" s="1" t="s">
        <v>4320</v>
      </c>
      <c r="C356" s="2">
        <v>44760</v>
      </c>
      <c r="D356" s="6">
        <v>1851.4</v>
      </c>
      <c r="E356" s="6">
        <v>2221.6799999999998</v>
      </c>
      <c r="F356" s="1" t="s">
        <v>3472</v>
      </c>
      <c r="G356" s="14" t="s">
        <v>3473</v>
      </c>
      <c r="H356" s="1" t="s">
        <v>1155</v>
      </c>
      <c r="I356" s="22" t="s">
        <v>4321</v>
      </c>
      <c r="J356" s="1" t="s">
        <v>4322</v>
      </c>
    </row>
    <row r="357" spans="1:10" x14ac:dyDescent="0.25">
      <c r="A357" s="1" t="s">
        <v>4313</v>
      </c>
      <c r="B357" s="1" t="s">
        <v>4323</v>
      </c>
      <c r="C357" s="2">
        <v>44762</v>
      </c>
      <c r="D357" s="6">
        <v>-57.26</v>
      </c>
      <c r="E357" s="6">
        <v>-68.709999999999994</v>
      </c>
      <c r="F357" s="1" t="s">
        <v>468</v>
      </c>
      <c r="G357" s="14" t="s">
        <v>3398</v>
      </c>
      <c r="H357" s="1" t="s">
        <v>1098</v>
      </c>
      <c r="I357" s="22" t="s">
        <v>1189</v>
      </c>
      <c r="J357" s="1" t="s">
        <v>3845</v>
      </c>
    </row>
    <row r="358" spans="1:10" x14ac:dyDescent="0.25">
      <c r="A358" s="1" t="s">
        <v>4314</v>
      </c>
      <c r="B358" s="1" t="s">
        <v>4324</v>
      </c>
      <c r="C358" s="2">
        <v>44762</v>
      </c>
      <c r="D358" s="6">
        <v>2653.07</v>
      </c>
      <c r="E358" s="6">
        <v>3183.69</v>
      </c>
      <c r="F358" s="1" t="s">
        <v>468</v>
      </c>
      <c r="G358" s="14" t="s">
        <v>3398</v>
      </c>
      <c r="H358" s="1" t="s">
        <v>1098</v>
      </c>
      <c r="I358" s="22" t="s">
        <v>1189</v>
      </c>
      <c r="J358" s="1" t="s">
        <v>4325</v>
      </c>
    </row>
    <row r="359" spans="1:10" x14ac:dyDescent="0.25">
      <c r="A359" s="1" t="s">
        <v>4315</v>
      </c>
      <c r="B359" s="1" t="s">
        <v>4326</v>
      </c>
      <c r="C359" s="2">
        <v>44762</v>
      </c>
      <c r="D359" s="6">
        <v>162.6</v>
      </c>
      <c r="E359" s="6">
        <v>195.12</v>
      </c>
      <c r="F359" s="1" t="s">
        <v>468</v>
      </c>
      <c r="G359" s="14" t="s">
        <v>3398</v>
      </c>
      <c r="H359" s="1" t="s">
        <v>1098</v>
      </c>
      <c r="I359" s="22" t="s">
        <v>1189</v>
      </c>
      <c r="J359" s="1" t="s">
        <v>4327</v>
      </c>
    </row>
    <row r="360" spans="1:10" x14ac:dyDescent="0.25">
      <c r="A360" s="1" t="s">
        <v>4316</v>
      </c>
      <c r="B360" s="1" t="s">
        <v>4328</v>
      </c>
      <c r="C360" s="2">
        <v>44762</v>
      </c>
      <c r="D360" s="6">
        <v>2150</v>
      </c>
      <c r="E360" s="6">
        <v>2580</v>
      </c>
      <c r="F360" s="1" t="s">
        <v>470</v>
      </c>
      <c r="G360" s="14" t="s">
        <v>3399</v>
      </c>
      <c r="H360" s="1" t="s">
        <v>1101</v>
      </c>
      <c r="I360" s="22" t="s">
        <v>3400</v>
      </c>
      <c r="J360" s="1" t="s">
        <v>4338</v>
      </c>
    </row>
    <row r="361" spans="1:10" x14ac:dyDescent="0.25">
      <c r="A361" s="1" t="s">
        <v>4317</v>
      </c>
      <c r="B361" s="1" t="s">
        <v>4329</v>
      </c>
      <c r="C361" s="2">
        <v>44762</v>
      </c>
      <c r="D361" s="6">
        <v>1290</v>
      </c>
      <c r="E361" s="6">
        <v>1548</v>
      </c>
      <c r="F361" s="1" t="s">
        <v>470</v>
      </c>
      <c r="G361" s="14" t="s">
        <v>3399</v>
      </c>
      <c r="H361" s="1" t="s">
        <v>1101</v>
      </c>
      <c r="I361" s="22" t="s">
        <v>3400</v>
      </c>
      <c r="J361" s="1" t="s">
        <v>4338</v>
      </c>
    </row>
    <row r="362" spans="1:10" x14ac:dyDescent="0.25">
      <c r="A362" s="1" t="s">
        <v>4330</v>
      </c>
      <c r="B362" s="1" t="s">
        <v>4337</v>
      </c>
      <c r="C362" s="2">
        <v>44762</v>
      </c>
      <c r="D362" s="6">
        <v>1290</v>
      </c>
      <c r="E362" s="6">
        <v>1548</v>
      </c>
      <c r="F362" s="1" t="s">
        <v>470</v>
      </c>
      <c r="G362" s="14" t="s">
        <v>3399</v>
      </c>
      <c r="H362" s="1" t="s">
        <v>1101</v>
      </c>
      <c r="I362" s="22" t="s">
        <v>3400</v>
      </c>
      <c r="J362" s="1" t="s">
        <v>4338</v>
      </c>
    </row>
    <row r="363" spans="1:10" x14ac:dyDescent="0.25">
      <c r="A363" s="1" t="s">
        <v>4331</v>
      </c>
      <c r="B363" s="1" t="s">
        <v>4339</v>
      </c>
      <c r="C363" s="2">
        <v>44762</v>
      </c>
      <c r="D363" s="6">
        <v>312</v>
      </c>
      <c r="E363" s="6">
        <v>374.4</v>
      </c>
      <c r="F363" s="1" t="s">
        <v>2374</v>
      </c>
      <c r="G363" s="14" t="s">
        <v>3693</v>
      </c>
      <c r="H363" s="1" t="s">
        <v>2375</v>
      </c>
      <c r="I363" s="22" t="s">
        <v>4340</v>
      </c>
      <c r="J363" s="1" t="s">
        <v>4341</v>
      </c>
    </row>
    <row r="364" spans="1:10" x14ac:dyDescent="0.25">
      <c r="A364" s="1" t="s">
        <v>4332</v>
      </c>
      <c r="B364" s="1" t="s">
        <v>4342</v>
      </c>
      <c r="C364" s="2">
        <v>44762</v>
      </c>
      <c r="D364" s="6">
        <v>95</v>
      </c>
      <c r="E364" s="6">
        <v>114</v>
      </c>
      <c r="F364" s="1" t="s">
        <v>2374</v>
      </c>
      <c r="G364" s="14" t="s">
        <v>3693</v>
      </c>
      <c r="H364" s="1" t="s">
        <v>2375</v>
      </c>
      <c r="I364" s="22" t="s">
        <v>4343</v>
      </c>
      <c r="J364" s="1" t="s">
        <v>4344</v>
      </c>
    </row>
    <row r="365" spans="1:10" x14ac:dyDescent="0.25">
      <c r="A365" s="1" t="s">
        <v>4333</v>
      </c>
      <c r="B365" s="1" t="s">
        <v>4345</v>
      </c>
      <c r="C365" s="2">
        <v>44762</v>
      </c>
      <c r="D365" s="6">
        <v>440</v>
      </c>
      <c r="E365" s="6">
        <v>528</v>
      </c>
      <c r="F365" s="1" t="s">
        <v>2374</v>
      </c>
      <c r="G365" s="14" t="s">
        <v>3693</v>
      </c>
      <c r="H365" s="1" t="s">
        <v>2375</v>
      </c>
      <c r="I365" s="22" t="s">
        <v>4346</v>
      </c>
      <c r="J365" s="1" t="s">
        <v>4347</v>
      </c>
    </row>
    <row r="366" spans="1:10" x14ac:dyDescent="0.25">
      <c r="A366" s="1" t="s">
        <v>4334</v>
      </c>
      <c r="B366" s="1" t="s">
        <v>4348</v>
      </c>
      <c r="C366" s="2">
        <v>44763</v>
      </c>
      <c r="D366" s="6"/>
      <c r="E366" s="6">
        <v>125</v>
      </c>
      <c r="F366" s="1" t="s">
        <v>4349</v>
      </c>
      <c r="G366" s="14" t="s">
        <v>4350</v>
      </c>
      <c r="H366" s="1"/>
      <c r="I366" s="22"/>
      <c r="J366" s="1" t="s">
        <v>4351</v>
      </c>
    </row>
    <row r="367" spans="1:10" x14ac:dyDescent="0.25">
      <c r="A367" s="1" t="s">
        <v>4335</v>
      </c>
      <c r="B367" s="1" t="s">
        <v>4352</v>
      </c>
      <c r="C367" s="2">
        <v>44763</v>
      </c>
      <c r="D367" s="6"/>
      <c r="E367" s="6">
        <v>49.5</v>
      </c>
      <c r="F367" s="1" t="s">
        <v>469</v>
      </c>
      <c r="G367" s="14" t="s">
        <v>3407</v>
      </c>
      <c r="H367" s="1"/>
      <c r="I367" s="22"/>
      <c r="J367" s="1" t="s">
        <v>4353</v>
      </c>
    </row>
    <row r="368" spans="1:10" x14ac:dyDescent="0.25">
      <c r="A368" s="1" t="s">
        <v>4336</v>
      </c>
      <c r="B368" s="1" t="s">
        <v>4354</v>
      </c>
      <c r="C368" s="2">
        <v>44764</v>
      </c>
      <c r="D368" s="6">
        <v>52.32</v>
      </c>
      <c r="E368" s="6">
        <v>62.82</v>
      </c>
      <c r="F368" s="1" t="s">
        <v>467</v>
      </c>
      <c r="G368" s="14" t="s">
        <v>3397</v>
      </c>
      <c r="H368" s="1" t="s">
        <v>1099</v>
      </c>
      <c r="I368" s="22" t="s">
        <v>1117</v>
      </c>
      <c r="J368" s="1" t="s">
        <v>4355</v>
      </c>
    </row>
    <row r="369" spans="1:10" x14ac:dyDescent="0.25">
      <c r="A369" s="1" t="s">
        <v>4356</v>
      </c>
      <c r="B369" s="1" t="s">
        <v>4368</v>
      </c>
      <c r="C369" s="2">
        <v>44764</v>
      </c>
      <c r="D369" s="6">
        <v>5510</v>
      </c>
      <c r="E369" s="6">
        <v>6612</v>
      </c>
      <c r="F369" s="1" t="s">
        <v>468</v>
      </c>
      <c r="G369" s="14" t="s">
        <v>3398</v>
      </c>
      <c r="H369" s="1" t="s">
        <v>1098</v>
      </c>
      <c r="I369" s="22" t="s">
        <v>1189</v>
      </c>
      <c r="J369" s="1" t="s">
        <v>4369</v>
      </c>
    </row>
    <row r="370" spans="1:10" x14ac:dyDescent="0.25">
      <c r="A370" s="1" t="s">
        <v>4357</v>
      </c>
      <c r="B370" s="1" t="s">
        <v>4370</v>
      </c>
      <c r="C370" s="2">
        <v>44764</v>
      </c>
      <c r="D370" s="6">
        <v>156</v>
      </c>
      <c r="E370" s="6">
        <v>187.2</v>
      </c>
      <c r="F370" s="1" t="s">
        <v>470</v>
      </c>
      <c r="G370" s="14" t="s">
        <v>3399</v>
      </c>
      <c r="H370" s="1" t="s">
        <v>1101</v>
      </c>
      <c r="I370" s="22" t="s">
        <v>3400</v>
      </c>
      <c r="J370" s="1" t="s">
        <v>4371</v>
      </c>
    </row>
    <row r="371" spans="1:10" x14ac:dyDescent="0.25">
      <c r="A371" s="1" t="s">
        <v>4358</v>
      </c>
      <c r="B371" s="1" t="s">
        <v>4372</v>
      </c>
      <c r="C371" s="2">
        <v>44764</v>
      </c>
      <c r="D371" s="6">
        <v>119.7</v>
      </c>
      <c r="E371" s="6">
        <v>143.63999999999999</v>
      </c>
      <c r="F371" s="1" t="s">
        <v>470</v>
      </c>
      <c r="G371" s="14" t="s">
        <v>3399</v>
      </c>
      <c r="H371" s="1" t="s">
        <v>1101</v>
      </c>
      <c r="I371" s="22" t="s">
        <v>3400</v>
      </c>
      <c r="J371" s="1" t="s">
        <v>4373</v>
      </c>
    </row>
    <row r="372" spans="1:10" x14ac:dyDescent="0.25">
      <c r="A372" s="1" t="s">
        <v>4359</v>
      </c>
      <c r="B372" s="1" t="s">
        <v>4374</v>
      </c>
      <c r="C372" s="2">
        <v>44767</v>
      </c>
      <c r="D372" s="6"/>
      <c r="E372" s="6">
        <v>49.5</v>
      </c>
      <c r="F372" s="1" t="s">
        <v>469</v>
      </c>
      <c r="G372" s="14" t="s">
        <v>3407</v>
      </c>
      <c r="H372" s="1"/>
      <c r="I372" s="22"/>
      <c r="J372" s="1" t="s">
        <v>4375</v>
      </c>
    </row>
    <row r="373" spans="1:10" x14ac:dyDescent="0.25">
      <c r="A373" s="1" t="s">
        <v>4360</v>
      </c>
      <c r="B373" s="1" t="s">
        <v>4376</v>
      </c>
      <c r="C373" s="2">
        <v>44767</v>
      </c>
      <c r="D373" s="6">
        <v>710.1</v>
      </c>
      <c r="E373" s="6">
        <v>852.12</v>
      </c>
      <c r="F373" s="1" t="s">
        <v>468</v>
      </c>
      <c r="G373" s="14" t="s">
        <v>3398</v>
      </c>
      <c r="H373" s="1" t="s">
        <v>1098</v>
      </c>
      <c r="I373" s="22" t="s">
        <v>1189</v>
      </c>
      <c r="J373" s="1" t="s">
        <v>4377</v>
      </c>
    </row>
    <row r="374" spans="1:10" x14ac:dyDescent="0.25">
      <c r="A374" s="1" t="s">
        <v>4361</v>
      </c>
      <c r="B374" s="1" t="s">
        <v>4378</v>
      </c>
      <c r="C374" s="2">
        <v>44767</v>
      </c>
      <c r="D374" s="6">
        <v>1793.43</v>
      </c>
      <c r="E374" s="6">
        <v>2152.12</v>
      </c>
      <c r="F374" s="1" t="s">
        <v>468</v>
      </c>
      <c r="G374" s="14" t="s">
        <v>3398</v>
      </c>
      <c r="H374" s="1" t="s">
        <v>1098</v>
      </c>
      <c r="I374" s="22" t="s">
        <v>1189</v>
      </c>
      <c r="J374" s="1" t="s">
        <v>4379</v>
      </c>
    </row>
    <row r="375" spans="1:10" x14ac:dyDescent="0.25">
      <c r="A375" s="1" t="s">
        <v>4362</v>
      </c>
      <c r="B375" s="1" t="s">
        <v>4380</v>
      </c>
      <c r="C375" s="2">
        <v>44768</v>
      </c>
      <c r="D375" s="6">
        <v>0.01</v>
      </c>
      <c r="E375" s="6">
        <v>0.01</v>
      </c>
      <c r="F375" s="1" t="s">
        <v>468</v>
      </c>
      <c r="G375" s="14" t="s">
        <v>3398</v>
      </c>
      <c r="H375" s="1" t="s">
        <v>1098</v>
      </c>
      <c r="I375" s="22" t="s">
        <v>1189</v>
      </c>
      <c r="J375" s="1" t="s">
        <v>4381</v>
      </c>
    </row>
    <row r="376" spans="1:10" x14ac:dyDescent="0.25">
      <c r="A376" s="1" t="s">
        <v>4363</v>
      </c>
      <c r="B376" s="1" t="s">
        <v>4382</v>
      </c>
      <c r="C376" s="2">
        <v>44769</v>
      </c>
      <c r="D376" s="6">
        <v>19.16</v>
      </c>
      <c r="E376" s="6">
        <v>22.99</v>
      </c>
      <c r="F376" s="1" t="s">
        <v>472</v>
      </c>
      <c r="G376" s="14" t="s">
        <v>3415</v>
      </c>
      <c r="H376" s="1" t="s">
        <v>1151</v>
      </c>
      <c r="I376" s="22"/>
      <c r="J376" s="1" t="s">
        <v>3892</v>
      </c>
    </row>
    <row r="377" spans="1:10" x14ac:dyDescent="0.25">
      <c r="A377" s="1" t="s">
        <v>4364</v>
      </c>
      <c r="B377" s="1" t="s">
        <v>4383</v>
      </c>
      <c r="C377" s="2">
        <v>44769</v>
      </c>
      <c r="D377" s="6">
        <v>9.08</v>
      </c>
      <c r="E377" s="6">
        <v>10.9</v>
      </c>
      <c r="F377" s="1" t="s">
        <v>468</v>
      </c>
      <c r="G377" s="14" t="s">
        <v>3398</v>
      </c>
      <c r="H377" s="1" t="s">
        <v>1098</v>
      </c>
      <c r="I377" s="22" t="s">
        <v>1189</v>
      </c>
      <c r="J377" s="1" t="s">
        <v>4384</v>
      </c>
    </row>
    <row r="378" spans="1:10" x14ac:dyDescent="0.25">
      <c r="A378" s="1" t="s">
        <v>4365</v>
      </c>
      <c r="B378" s="1" t="s">
        <v>4385</v>
      </c>
      <c r="C378" s="2">
        <v>44769</v>
      </c>
      <c r="D378" s="6">
        <v>9465.6</v>
      </c>
      <c r="E378" s="6">
        <v>11358.72</v>
      </c>
      <c r="F378" s="1" t="s">
        <v>468</v>
      </c>
      <c r="G378" s="14" t="s">
        <v>3398</v>
      </c>
      <c r="H378" s="1" t="s">
        <v>1098</v>
      </c>
      <c r="I378" s="22" t="s">
        <v>1189</v>
      </c>
      <c r="J378" s="1" t="s">
        <v>4386</v>
      </c>
    </row>
    <row r="379" spans="1:10" x14ac:dyDescent="0.25">
      <c r="A379" s="1" t="s">
        <v>4366</v>
      </c>
      <c r="B379" s="1" t="s">
        <v>4387</v>
      </c>
      <c r="C379" s="2">
        <v>44769</v>
      </c>
      <c r="D379" s="6">
        <v>695</v>
      </c>
      <c r="E379" s="6">
        <v>834</v>
      </c>
      <c r="F379" s="1" t="s">
        <v>468</v>
      </c>
      <c r="G379" s="14" t="s">
        <v>3398</v>
      </c>
      <c r="H379" s="1" t="s">
        <v>1098</v>
      </c>
      <c r="I379" s="22" t="s">
        <v>1189</v>
      </c>
      <c r="J379" s="1" t="s">
        <v>4388</v>
      </c>
    </row>
    <row r="380" spans="1:10" x14ac:dyDescent="0.25">
      <c r="A380" s="1" t="s">
        <v>4367</v>
      </c>
      <c r="B380" s="1" t="s">
        <v>4389</v>
      </c>
      <c r="C380" s="2">
        <v>44770</v>
      </c>
      <c r="D380" s="6"/>
      <c r="E380" s="6">
        <v>397.5</v>
      </c>
      <c r="F380" s="1" t="s">
        <v>4349</v>
      </c>
      <c r="G380" s="14" t="s">
        <v>4350</v>
      </c>
      <c r="H380" s="1"/>
      <c r="I380" s="22"/>
      <c r="J380" s="1" t="s">
        <v>4390</v>
      </c>
    </row>
    <row r="381" spans="1:10" x14ac:dyDescent="0.25">
      <c r="A381" s="1" t="s">
        <v>4400</v>
      </c>
      <c r="B381" s="1" t="s">
        <v>4410</v>
      </c>
      <c r="C381" s="2">
        <v>44774</v>
      </c>
      <c r="D381" s="6"/>
      <c r="E381" s="6">
        <v>49.5</v>
      </c>
      <c r="F381" s="1" t="s">
        <v>469</v>
      </c>
      <c r="G381" s="14" t="s">
        <v>3407</v>
      </c>
      <c r="H381" s="1"/>
      <c r="I381" s="22"/>
      <c r="J381" s="1" t="s">
        <v>4411</v>
      </c>
    </row>
    <row r="382" spans="1:10" x14ac:dyDescent="0.25">
      <c r="A382" s="1" t="s">
        <v>4401</v>
      </c>
      <c r="B382" s="1" t="s">
        <v>4412</v>
      </c>
      <c r="C382" s="2">
        <v>44774</v>
      </c>
      <c r="D382" s="6"/>
      <c r="E382" s="6">
        <v>49.5</v>
      </c>
      <c r="F382" s="1" t="s">
        <v>469</v>
      </c>
      <c r="G382" s="14" t="s">
        <v>3407</v>
      </c>
      <c r="H382" s="1"/>
      <c r="I382" s="22"/>
      <c r="J382" s="1" t="s">
        <v>4413</v>
      </c>
    </row>
    <row r="383" spans="1:10" x14ac:dyDescent="0.25">
      <c r="A383" s="1" t="s">
        <v>4402</v>
      </c>
      <c r="B383" s="1" t="s">
        <v>4414</v>
      </c>
      <c r="C383" s="2">
        <v>44774</v>
      </c>
      <c r="D383" s="6"/>
      <c r="E383" s="6">
        <v>49.5</v>
      </c>
      <c r="F383" s="1" t="s">
        <v>469</v>
      </c>
      <c r="G383" s="14" t="s">
        <v>3407</v>
      </c>
      <c r="H383" s="1"/>
      <c r="I383" s="22"/>
      <c r="J383" s="1" t="s">
        <v>4415</v>
      </c>
    </row>
    <row r="384" spans="1:10" x14ac:dyDescent="0.25">
      <c r="A384" s="1" t="s">
        <v>4403</v>
      </c>
      <c r="B384" s="1" t="s">
        <v>4416</v>
      </c>
      <c r="C384" s="2">
        <v>44774</v>
      </c>
      <c r="D384" s="6"/>
      <c r="E384" s="6">
        <v>16.5</v>
      </c>
      <c r="F384" s="1" t="s">
        <v>469</v>
      </c>
      <c r="G384" s="14" t="s">
        <v>3407</v>
      </c>
      <c r="H384" s="1"/>
      <c r="I384" s="22"/>
      <c r="J384" s="1" t="s">
        <v>4417</v>
      </c>
    </row>
    <row r="385" spans="1:10" x14ac:dyDescent="0.25">
      <c r="A385" s="1" t="s">
        <v>4404</v>
      </c>
      <c r="B385" s="1" t="s">
        <v>4418</v>
      </c>
      <c r="C385" s="2">
        <v>44774</v>
      </c>
      <c r="D385" s="6"/>
      <c r="E385" s="6">
        <v>91.5</v>
      </c>
      <c r="F385" s="1" t="s">
        <v>469</v>
      </c>
      <c r="G385" s="14" t="s">
        <v>3407</v>
      </c>
      <c r="H385" s="1"/>
      <c r="I385" s="22"/>
      <c r="J385" s="1" t="s">
        <v>4411</v>
      </c>
    </row>
    <row r="386" spans="1:10" x14ac:dyDescent="0.25">
      <c r="A386" s="1" t="s">
        <v>4405</v>
      </c>
      <c r="B386" s="1" t="s">
        <v>4419</v>
      </c>
      <c r="C386" s="2">
        <v>44774</v>
      </c>
      <c r="D386" s="6"/>
      <c r="E386" s="6">
        <v>49.5</v>
      </c>
      <c r="F386" s="1" t="s">
        <v>469</v>
      </c>
      <c r="G386" s="14" t="s">
        <v>3407</v>
      </c>
      <c r="H386" s="1"/>
      <c r="I386" s="22"/>
      <c r="J386" s="1" t="s">
        <v>4417</v>
      </c>
    </row>
    <row r="387" spans="1:10" x14ac:dyDescent="0.25">
      <c r="A387" s="1" t="s">
        <v>4406</v>
      </c>
      <c r="B387" s="1" t="s">
        <v>4420</v>
      </c>
      <c r="C387" s="2">
        <v>44774</v>
      </c>
      <c r="D387" s="6">
        <v>3503.33</v>
      </c>
      <c r="E387" s="6">
        <v>4204</v>
      </c>
      <c r="F387" s="1" t="s">
        <v>468</v>
      </c>
      <c r="G387" s="14" t="s">
        <v>3398</v>
      </c>
      <c r="H387" s="1" t="s">
        <v>1098</v>
      </c>
      <c r="I387" s="22" t="s">
        <v>1189</v>
      </c>
      <c r="J387" s="1" t="s">
        <v>4421</v>
      </c>
    </row>
    <row r="388" spans="1:10" x14ac:dyDescent="0.25">
      <c r="A388" s="1" t="s">
        <v>4407</v>
      </c>
      <c r="B388" s="1" t="s">
        <v>4422</v>
      </c>
      <c r="C388" s="2">
        <v>44774</v>
      </c>
      <c r="D388" s="6">
        <v>20059</v>
      </c>
      <c r="E388" s="6">
        <v>24070.799999999999</v>
      </c>
      <c r="F388" s="1" t="s">
        <v>468</v>
      </c>
      <c r="G388" s="14" t="s">
        <v>3398</v>
      </c>
      <c r="H388" s="1" t="s">
        <v>1098</v>
      </c>
      <c r="I388" s="22" t="s">
        <v>1189</v>
      </c>
      <c r="J388" s="1" t="s">
        <v>4423</v>
      </c>
    </row>
    <row r="389" spans="1:10" x14ac:dyDescent="0.25">
      <c r="A389" s="1" t="s">
        <v>4408</v>
      </c>
      <c r="B389" s="1" t="s">
        <v>4425</v>
      </c>
      <c r="C389" s="2">
        <v>44774</v>
      </c>
      <c r="D389" s="6">
        <v>93</v>
      </c>
      <c r="E389" s="6">
        <v>111.6</v>
      </c>
      <c r="F389" s="3" t="s">
        <v>470</v>
      </c>
      <c r="G389" s="17" t="s">
        <v>3399</v>
      </c>
      <c r="H389" s="1" t="s">
        <v>1101</v>
      </c>
      <c r="I389" s="22" t="s">
        <v>3400</v>
      </c>
      <c r="J389" s="1" t="s">
        <v>4426</v>
      </c>
    </row>
    <row r="390" spans="1:10" x14ac:dyDescent="0.25">
      <c r="A390" s="1" t="s">
        <v>4409</v>
      </c>
      <c r="B390" s="1" t="s">
        <v>4427</v>
      </c>
      <c r="C390" s="2">
        <v>44774</v>
      </c>
      <c r="D390" s="6">
        <v>2064.4699999999998</v>
      </c>
      <c r="E390" s="6">
        <v>2477.36</v>
      </c>
      <c r="F390" s="1" t="s">
        <v>470</v>
      </c>
      <c r="G390" s="14" t="s">
        <v>3399</v>
      </c>
      <c r="H390" s="1" t="s">
        <v>1101</v>
      </c>
      <c r="I390" s="22" t="s">
        <v>3400</v>
      </c>
      <c r="J390" s="1" t="s">
        <v>4428</v>
      </c>
    </row>
    <row r="391" spans="1:10" x14ac:dyDescent="0.25">
      <c r="A391" s="1" t="s">
        <v>4436</v>
      </c>
      <c r="B391" s="1" t="s">
        <v>4447</v>
      </c>
      <c r="C391" s="2">
        <v>44775</v>
      </c>
      <c r="D391" s="6">
        <v>165</v>
      </c>
      <c r="E391" s="6">
        <v>198</v>
      </c>
      <c r="F391" s="1" t="s">
        <v>2506</v>
      </c>
      <c r="G391" s="14" t="s">
        <v>4448</v>
      </c>
      <c r="H391" s="1" t="s">
        <v>2507</v>
      </c>
      <c r="I391" s="22" t="s">
        <v>4449</v>
      </c>
      <c r="J391" s="1" t="s">
        <v>4450</v>
      </c>
    </row>
    <row r="392" spans="1:10" x14ac:dyDescent="0.25">
      <c r="A392" s="1" t="s">
        <v>4437</v>
      </c>
      <c r="B392" s="1" t="s">
        <v>4451</v>
      </c>
      <c r="C392" s="2">
        <v>44775</v>
      </c>
      <c r="D392" s="6">
        <v>320</v>
      </c>
      <c r="E392" s="6">
        <v>384</v>
      </c>
      <c r="F392" s="1" t="s">
        <v>2506</v>
      </c>
      <c r="G392" s="14" t="s">
        <v>4448</v>
      </c>
      <c r="H392" s="1" t="s">
        <v>2507</v>
      </c>
      <c r="I392" s="22" t="s">
        <v>4452</v>
      </c>
      <c r="J392" s="1" t="s">
        <v>4453</v>
      </c>
    </row>
    <row r="393" spans="1:10" x14ac:dyDescent="0.25">
      <c r="A393" s="1" t="s">
        <v>4438</v>
      </c>
      <c r="B393" s="1" t="s">
        <v>4454</v>
      </c>
      <c r="C393" s="2">
        <v>44775</v>
      </c>
      <c r="D393" s="6">
        <v>312</v>
      </c>
      <c r="E393" s="6">
        <v>374.4</v>
      </c>
      <c r="F393" s="1" t="s">
        <v>2506</v>
      </c>
      <c r="G393" s="14" t="s">
        <v>4448</v>
      </c>
      <c r="H393" s="1" t="s">
        <v>2507</v>
      </c>
      <c r="I393" s="22" t="s">
        <v>4455</v>
      </c>
      <c r="J393" s="1" t="s">
        <v>4456</v>
      </c>
    </row>
    <row r="394" spans="1:10" x14ac:dyDescent="0.25">
      <c r="A394" s="1" t="s">
        <v>4439</v>
      </c>
      <c r="B394" s="1" t="s">
        <v>4457</v>
      </c>
      <c r="C394" s="2">
        <v>44775</v>
      </c>
      <c r="D394" s="6">
        <v>70</v>
      </c>
      <c r="E394" s="6">
        <v>84</v>
      </c>
      <c r="F394" s="1" t="s">
        <v>2506</v>
      </c>
      <c r="G394" s="14" t="s">
        <v>4448</v>
      </c>
      <c r="H394" s="1" t="s">
        <v>2507</v>
      </c>
      <c r="I394" s="22" t="s">
        <v>4458</v>
      </c>
      <c r="J394" s="1" t="s">
        <v>4459</v>
      </c>
    </row>
    <row r="395" spans="1:10" x14ac:dyDescent="0.25">
      <c r="A395" s="1" t="s">
        <v>4440</v>
      </c>
      <c r="B395" s="1" t="s">
        <v>4460</v>
      </c>
      <c r="C395" s="2">
        <v>44775</v>
      </c>
      <c r="D395" s="6">
        <v>70</v>
      </c>
      <c r="E395" s="6">
        <v>84</v>
      </c>
      <c r="F395" s="1" t="s">
        <v>2506</v>
      </c>
      <c r="G395" s="14" t="s">
        <v>4448</v>
      </c>
      <c r="H395" s="1" t="s">
        <v>2507</v>
      </c>
      <c r="I395" s="22" t="s">
        <v>4461</v>
      </c>
      <c r="J395" s="1" t="s">
        <v>4462</v>
      </c>
    </row>
    <row r="396" spans="1:10" x14ac:dyDescent="0.25">
      <c r="A396" s="1" t="s">
        <v>4441</v>
      </c>
      <c r="B396" s="1" t="s">
        <v>4463</v>
      </c>
      <c r="C396" s="2">
        <v>44778</v>
      </c>
      <c r="D396" s="6"/>
      <c r="E396" s="6">
        <v>5941</v>
      </c>
      <c r="F396" s="1" t="s">
        <v>475</v>
      </c>
      <c r="G396" s="14" t="s">
        <v>3411</v>
      </c>
      <c r="H396" s="1" t="s">
        <v>1115</v>
      </c>
      <c r="I396" s="22" t="s">
        <v>3412</v>
      </c>
      <c r="J396" s="1" t="s">
        <v>3704</v>
      </c>
    </row>
    <row r="397" spans="1:10" x14ac:dyDescent="0.25">
      <c r="A397" s="1" t="s">
        <v>4442</v>
      </c>
      <c r="B397" s="1" t="s">
        <v>4464</v>
      </c>
      <c r="C397" s="2">
        <v>44778</v>
      </c>
      <c r="D397" s="6">
        <v>1736</v>
      </c>
      <c r="E397" s="6">
        <v>2083.1999999999998</v>
      </c>
      <c r="F397" s="1" t="s">
        <v>2597</v>
      </c>
      <c r="G397" s="14" t="s">
        <v>3401</v>
      </c>
      <c r="H397" s="1" t="s">
        <v>2598</v>
      </c>
      <c r="I397" s="1" t="s">
        <v>3402</v>
      </c>
      <c r="J397" s="1" t="s">
        <v>4465</v>
      </c>
    </row>
    <row r="398" spans="1:10" x14ac:dyDescent="0.25">
      <c r="A398" s="1" t="s">
        <v>4443</v>
      </c>
      <c r="B398" s="1" t="s">
        <v>4466</v>
      </c>
      <c r="C398" s="2">
        <v>44778</v>
      </c>
      <c r="D398" s="6">
        <v>2807.34</v>
      </c>
      <c r="E398" s="6">
        <v>3368.81</v>
      </c>
      <c r="F398" s="1" t="s">
        <v>468</v>
      </c>
      <c r="G398" s="14" t="s">
        <v>3398</v>
      </c>
      <c r="H398" s="1" t="s">
        <v>1098</v>
      </c>
      <c r="I398" s="22" t="s">
        <v>1189</v>
      </c>
      <c r="J398" s="1" t="s">
        <v>4467</v>
      </c>
    </row>
    <row r="399" spans="1:10" x14ac:dyDescent="0.25">
      <c r="A399" s="1" t="s">
        <v>4444</v>
      </c>
      <c r="B399" s="1" t="s">
        <v>4468</v>
      </c>
      <c r="C399" s="2">
        <v>44782</v>
      </c>
      <c r="D399" s="6">
        <v>35</v>
      </c>
      <c r="E399" s="6">
        <v>42</v>
      </c>
      <c r="F399" s="1" t="s">
        <v>4469</v>
      </c>
      <c r="G399" s="14" t="s">
        <v>4470</v>
      </c>
      <c r="H399" s="1" t="s">
        <v>4471</v>
      </c>
      <c r="I399" s="22"/>
      <c r="J399" s="1" t="s">
        <v>4472</v>
      </c>
    </row>
    <row r="400" spans="1:10" x14ac:dyDescent="0.25">
      <c r="A400" s="1" t="s">
        <v>4445</v>
      </c>
      <c r="B400" s="1" t="s">
        <v>4473</v>
      </c>
      <c r="C400" s="2">
        <v>44782</v>
      </c>
      <c r="D400" s="6"/>
      <c r="E400" s="6">
        <v>39</v>
      </c>
      <c r="F400" s="1" t="s">
        <v>469</v>
      </c>
      <c r="G400" s="14" t="s">
        <v>3407</v>
      </c>
      <c r="H400" s="1"/>
      <c r="I400" s="22"/>
      <c r="J400" s="1" t="s">
        <v>4474</v>
      </c>
    </row>
    <row r="401" spans="1:10" x14ac:dyDescent="0.25">
      <c r="A401" s="1" t="s">
        <v>4446</v>
      </c>
      <c r="B401" s="1" t="s">
        <v>4475</v>
      </c>
      <c r="C401" s="2">
        <v>44782</v>
      </c>
      <c r="D401" s="6">
        <v>27.36</v>
      </c>
      <c r="E401" s="6">
        <v>27.36</v>
      </c>
      <c r="F401" s="1" t="s">
        <v>468</v>
      </c>
      <c r="G401" s="14" t="s">
        <v>3398</v>
      </c>
      <c r="H401" s="1" t="s">
        <v>1098</v>
      </c>
      <c r="I401" s="22" t="s">
        <v>1189</v>
      </c>
      <c r="J401" s="1" t="s">
        <v>4476</v>
      </c>
    </row>
    <row r="402" spans="1:10" x14ac:dyDescent="0.25">
      <c r="A402" s="1" t="s">
        <v>4477</v>
      </c>
      <c r="B402" s="1" t="s">
        <v>4497</v>
      </c>
      <c r="C402" s="2">
        <v>44782</v>
      </c>
      <c r="D402" s="6">
        <v>43</v>
      </c>
      <c r="E402" s="6">
        <v>51.6</v>
      </c>
      <c r="F402" s="1" t="s">
        <v>468</v>
      </c>
      <c r="G402" s="14" t="s">
        <v>3398</v>
      </c>
      <c r="H402" s="1" t="s">
        <v>1098</v>
      </c>
      <c r="I402" s="22" t="s">
        <v>1189</v>
      </c>
      <c r="J402" s="1" t="s">
        <v>2287</v>
      </c>
    </row>
    <row r="403" spans="1:10" x14ac:dyDescent="0.25">
      <c r="A403" s="1" t="s">
        <v>4478</v>
      </c>
      <c r="B403" s="1" t="s">
        <v>4498</v>
      </c>
      <c r="C403" s="2">
        <v>44782</v>
      </c>
      <c r="D403" s="6">
        <v>-10.77</v>
      </c>
      <c r="E403" s="6">
        <v>-12.92</v>
      </c>
      <c r="F403" s="1" t="s">
        <v>468</v>
      </c>
      <c r="G403" s="14" t="s">
        <v>3398</v>
      </c>
      <c r="H403" s="1" t="s">
        <v>1098</v>
      </c>
      <c r="I403" s="22" t="s">
        <v>1189</v>
      </c>
      <c r="J403" s="1" t="s">
        <v>3845</v>
      </c>
    </row>
    <row r="404" spans="1:10" x14ac:dyDescent="0.25">
      <c r="A404" s="1" t="s">
        <v>4479</v>
      </c>
      <c r="B404" s="1" t="s">
        <v>4499</v>
      </c>
      <c r="C404" s="2">
        <v>44782</v>
      </c>
      <c r="D404" s="6">
        <v>165.96</v>
      </c>
      <c r="E404" s="6">
        <v>199.15</v>
      </c>
      <c r="F404" s="1" t="s">
        <v>466</v>
      </c>
      <c r="G404" s="14" t="s">
        <v>3406</v>
      </c>
      <c r="H404" s="1" t="s">
        <v>1105</v>
      </c>
      <c r="I404" s="22" t="s">
        <v>4501</v>
      </c>
      <c r="J404" s="1" t="s">
        <v>4500</v>
      </c>
    </row>
    <row r="405" spans="1:10" x14ac:dyDescent="0.25">
      <c r="A405" s="1" t="s">
        <v>4480</v>
      </c>
      <c r="B405" s="1" t="s">
        <v>4502</v>
      </c>
      <c r="C405" s="2">
        <v>44782</v>
      </c>
      <c r="D405" s="6"/>
      <c r="E405" s="6">
        <v>506</v>
      </c>
      <c r="F405" s="1" t="s">
        <v>486</v>
      </c>
      <c r="G405" s="14" t="s">
        <v>3528</v>
      </c>
      <c r="H405" s="1" t="s">
        <v>1133</v>
      </c>
      <c r="I405" s="22" t="s">
        <v>4503</v>
      </c>
      <c r="J405" s="1" t="s">
        <v>4504</v>
      </c>
    </row>
    <row r="406" spans="1:10" x14ac:dyDescent="0.25">
      <c r="A406" s="1" t="s">
        <v>4481</v>
      </c>
      <c r="B406" s="1" t="s">
        <v>4505</v>
      </c>
      <c r="C406" s="2">
        <v>44782</v>
      </c>
      <c r="D406" s="6"/>
      <c r="E406" s="6">
        <v>2282.5</v>
      </c>
      <c r="F406" s="1" t="s">
        <v>486</v>
      </c>
      <c r="G406" s="14" t="s">
        <v>3528</v>
      </c>
      <c r="H406" s="1" t="s">
        <v>1133</v>
      </c>
      <c r="I406" s="22" t="s">
        <v>4506</v>
      </c>
      <c r="J406" s="1" t="s">
        <v>4507</v>
      </c>
    </row>
    <row r="407" spans="1:10" x14ac:dyDescent="0.25">
      <c r="A407" s="1" t="s">
        <v>4482</v>
      </c>
      <c r="B407" s="1" t="s">
        <v>4508</v>
      </c>
      <c r="C407" s="2">
        <v>44782</v>
      </c>
      <c r="D407" s="6"/>
      <c r="E407" s="6">
        <v>670</v>
      </c>
      <c r="F407" s="1" t="s">
        <v>486</v>
      </c>
      <c r="G407" s="14" t="s">
        <v>3528</v>
      </c>
      <c r="H407" s="1" t="s">
        <v>1133</v>
      </c>
      <c r="I407" s="22" t="s">
        <v>4509</v>
      </c>
      <c r="J407" s="1" t="s">
        <v>4510</v>
      </c>
    </row>
    <row r="408" spans="1:10" x14ac:dyDescent="0.25">
      <c r="A408" s="1" t="s">
        <v>4483</v>
      </c>
      <c r="B408" s="1" t="s">
        <v>4511</v>
      </c>
      <c r="C408" s="2">
        <v>44782</v>
      </c>
      <c r="D408" s="6">
        <v>264</v>
      </c>
      <c r="E408" s="6">
        <v>316.8</v>
      </c>
      <c r="F408" s="1" t="s">
        <v>488</v>
      </c>
      <c r="G408" s="1" t="s">
        <v>4513</v>
      </c>
      <c r="H408" s="1" t="s">
        <v>1137</v>
      </c>
      <c r="I408" s="22" t="s">
        <v>4514</v>
      </c>
      <c r="J408" s="1" t="s">
        <v>4512</v>
      </c>
    </row>
    <row r="409" spans="1:10" x14ac:dyDescent="0.25">
      <c r="A409" s="1" t="s">
        <v>4484</v>
      </c>
      <c r="B409" s="1" t="s">
        <v>4515</v>
      </c>
      <c r="C409" s="2">
        <v>44782</v>
      </c>
      <c r="D409" s="6">
        <v>1476</v>
      </c>
      <c r="E409" s="6">
        <v>1771.2</v>
      </c>
      <c r="F409" s="1" t="s">
        <v>4516</v>
      </c>
      <c r="G409" s="14" t="s">
        <v>4517</v>
      </c>
      <c r="H409" s="1" t="s">
        <v>4518</v>
      </c>
      <c r="I409" s="22" t="s">
        <v>4519</v>
      </c>
      <c r="J409" s="1" t="s">
        <v>4520</v>
      </c>
    </row>
    <row r="410" spans="1:10" x14ac:dyDescent="0.25">
      <c r="A410" s="1" t="s">
        <v>4485</v>
      </c>
      <c r="B410" s="1" t="s">
        <v>4521</v>
      </c>
      <c r="C410" s="2">
        <v>44782</v>
      </c>
      <c r="D410" s="6">
        <v>1476</v>
      </c>
      <c r="E410" s="6">
        <v>1771.2</v>
      </c>
      <c r="F410" s="1" t="s">
        <v>4516</v>
      </c>
      <c r="G410" s="14" t="s">
        <v>4517</v>
      </c>
      <c r="H410" s="1" t="s">
        <v>4518</v>
      </c>
      <c r="I410" s="22" t="s">
        <v>4522</v>
      </c>
      <c r="J410" s="1" t="s">
        <v>4523</v>
      </c>
    </row>
    <row r="411" spans="1:10" x14ac:dyDescent="0.25">
      <c r="A411" s="1" t="s">
        <v>4486</v>
      </c>
      <c r="B411" s="1" t="s">
        <v>4524</v>
      </c>
      <c r="C411" s="2">
        <v>44783</v>
      </c>
      <c r="D411" s="6">
        <v>328.75</v>
      </c>
      <c r="E411" s="6">
        <v>394.5</v>
      </c>
      <c r="F411" s="1" t="s">
        <v>468</v>
      </c>
      <c r="G411" s="14" t="s">
        <v>4525</v>
      </c>
      <c r="H411" s="1" t="s">
        <v>1098</v>
      </c>
      <c r="I411" s="22" t="s">
        <v>1189</v>
      </c>
      <c r="J411" s="1" t="s">
        <v>3381</v>
      </c>
    </row>
    <row r="412" spans="1:10" x14ac:dyDescent="0.25">
      <c r="A412" s="1" t="s">
        <v>4487</v>
      </c>
      <c r="B412" s="1" t="s">
        <v>4526</v>
      </c>
      <c r="C412" s="2">
        <v>44783</v>
      </c>
      <c r="D412" s="6">
        <v>228.55</v>
      </c>
      <c r="E412" s="6">
        <v>274.26</v>
      </c>
      <c r="F412" s="1" t="s">
        <v>468</v>
      </c>
      <c r="G412" s="14" t="s">
        <v>4525</v>
      </c>
      <c r="H412" s="1" t="s">
        <v>1098</v>
      </c>
      <c r="I412" s="22" t="s">
        <v>1189</v>
      </c>
      <c r="J412" s="1" t="s">
        <v>3619</v>
      </c>
    </row>
    <row r="413" spans="1:10" x14ac:dyDescent="0.25">
      <c r="A413" s="1" t="s">
        <v>4488</v>
      </c>
      <c r="B413" s="1" t="s">
        <v>3428</v>
      </c>
      <c r="C413" s="2">
        <v>44784</v>
      </c>
      <c r="D413" s="6">
        <v>6414.58</v>
      </c>
      <c r="E413" s="6">
        <v>7697.5</v>
      </c>
      <c r="F413" s="1" t="s">
        <v>509</v>
      </c>
      <c r="G413" s="14" t="s">
        <v>4527</v>
      </c>
      <c r="H413" s="1" t="s">
        <v>1161</v>
      </c>
      <c r="I413" s="22" t="s">
        <v>4528</v>
      </c>
      <c r="J413" s="1" t="s">
        <v>4529</v>
      </c>
    </row>
    <row r="414" spans="1:10" x14ac:dyDescent="0.25">
      <c r="A414" s="1" t="s">
        <v>4489</v>
      </c>
      <c r="B414" s="1" t="s">
        <v>4530</v>
      </c>
      <c r="C414" s="2">
        <v>44784</v>
      </c>
      <c r="D414" s="6">
        <v>5.3</v>
      </c>
      <c r="E414" s="6">
        <v>6.36</v>
      </c>
      <c r="F414" s="1" t="s">
        <v>4531</v>
      </c>
      <c r="G414" s="14" t="s">
        <v>4532</v>
      </c>
      <c r="H414" s="1" t="s">
        <v>1107</v>
      </c>
      <c r="I414" s="22" t="s">
        <v>3410</v>
      </c>
      <c r="J414" s="1" t="s">
        <v>4533</v>
      </c>
    </row>
    <row r="415" spans="1:10" x14ac:dyDescent="0.25">
      <c r="A415" s="1" t="s">
        <v>4490</v>
      </c>
      <c r="B415" s="1" t="s">
        <v>4534</v>
      </c>
      <c r="C415" s="2">
        <v>44784</v>
      </c>
      <c r="D415" s="6">
        <v>2470</v>
      </c>
      <c r="E415" s="6">
        <v>2964</v>
      </c>
      <c r="F415" s="1" t="s">
        <v>468</v>
      </c>
      <c r="G415" s="14" t="s">
        <v>4525</v>
      </c>
      <c r="H415" s="1" t="s">
        <v>1098</v>
      </c>
      <c r="I415" s="22" t="s">
        <v>1189</v>
      </c>
      <c r="J415" s="1" t="s">
        <v>4369</v>
      </c>
    </row>
    <row r="416" spans="1:10" x14ac:dyDescent="0.25">
      <c r="A416" s="1" t="s">
        <v>4491</v>
      </c>
      <c r="B416" s="1" t="s">
        <v>4535</v>
      </c>
      <c r="C416" s="2">
        <v>44784</v>
      </c>
      <c r="D416" s="6">
        <v>843.75</v>
      </c>
      <c r="E416" s="6">
        <v>1012.5</v>
      </c>
      <c r="F416" s="1" t="s">
        <v>468</v>
      </c>
      <c r="G416" s="14" t="s">
        <v>4525</v>
      </c>
      <c r="H416" s="1" t="s">
        <v>1098</v>
      </c>
      <c r="I416" s="22" t="s">
        <v>1189</v>
      </c>
      <c r="J416" s="1" t="s">
        <v>3386</v>
      </c>
    </row>
    <row r="417" spans="1:10" x14ac:dyDescent="0.25">
      <c r="A417" s="1" t="s">
        <v>4492</v>
      </c>
      <c r="B417" s="1" t="s">
        <v>4536</v>
      </c>
      <c r="C417" s="2">
        <v>44784</v>
      </c>
      <c r="D417" s="6">
        <v>377.5</v>
      </c>
      <c r="E417" s="6">
        <v>453</v>
      </c>
      <c r="F417" s="1" t="s">
        <v>468</v>
      </c>
      <c r="G417" s="14" t="s">
        <v>4525</v>
      </c>
      <c r="H417" s="1" t="s">
        <v>1098</v>
      </c>
      <c r="I417" s="22" t="s">
        <v>1189</v>
      </c>
      <c r="J417" s="1" t="s">
        <v>4388</v>
      </c>
    </row>
    <row r="418" spans="1:10" x14ac:dyDescent="0.25">
      <c r="A418" s="1" t="s">
        <v>4493</v>
      </c>
      <c r="B418" s="1" t="s">
        <v>4537</v>
      </c>
      <c r="C418" s="2">
        <v>44784</v>
      </c>
      <c r="D418" s="6">
        <v>936.25</v>
      </c>
      <c r="E418" s="6">
        <v>1123.5</v>
      </c>
      <c r="F418" s="1" t="s">
        <v>468</v>
      </c>
      <c r="G418" s="14" t="s">
        <v>4525</v>
      </c>
      <c r="H418" s="1" t="s">
        <v>1098</v>
      </c>
      <c r="I418" s="22" t="s">
        <v>1189</v>
      </c>
      <c r="J418" s="1" t="s">
        <v>3386</v>
      </c>
    </row>
    <row r="419" spans="1:10" x14ac:dyDescent="0.25">
      <c r="A419" s="1" t="s">
        <v>4494</v>
      </c>
      <c r="B419" s="1" t="s">
        <v>4538</v>
      </c>
      <c r="C419" s="2">
        <v>44784</v>
      </c>
      <c r="D419" s="6">
        <v>807.42</v>
      </c>
      <c r="E419" s="6">
        <v>968.9</v>
      </c>
      <c r="F419" s="1" t="s">
        <v>468</v>
      </c>
      <c r="G419" s="14" t="s">
        <v>4525</v>
      </c>
      <c r="H419" s="1" t="s">
        <v>1098</v>
      </c>
      <c r="I419" s="22" t="s">
        <v>1189</v>
      </c>
      <c r="J419" s="1" t="s">
        <v>4539</v>
      </c>
    </row>
    <row r="420" spans="1:10" x14ac:dyDescent="0.25">
      <c r="A420" s="1" t="s">
        <v>4495</v>
      </c>
      <c r="B420" s="1" t="s">
        <v>4540</v>
      </c>
      <c r="C420" s="2">
        <v>44784</v>
      </c>
      <c r="D420" s="6">
        <v>139.55000000000001</v>
      </c>
      <c r="E420" s="6">
        <v>167.46</v>
      </c>
      <c r="F420" s="1" t="s">
        <v>468</v>
      </c>
      <c r="G420" s="14" t="s">
        <v>4525</v>
      </c>
      <c r="H420" s="1" t="s">
        <v>1098</v>
      </c>
      <c r="I420" s="22" t="s">
        <v>1189</v>
      </c>
      <c r="J420" s="1" t="s">
        <v>3845</v>
      </c>
    </row>
    <row r="421" spans="1:10" x14ac:dyDescent="0.25">
      <c r="A421" s="1" t="s">
        <v>4496</v>
      </c>
      <c r="B421" s="1" t="s">
        <v>4541</v>
      </c>
      <c r="C421" s="2">
        <v>44784</v>
      </c>
      <c r="D421" s="6">
        <v>370.68</v>
      </c>
      <c r="E421" s="6">
        <v>444.82</v>
      </c>
      <c r="F421" s="1" t="s">
        <v>468</v>
      </c>
      <c r="G421" s="14" t="s">
        <v>4525</v>
      </c>
      <c r="H421" s="1" t="s">
        <v>1098</v>
      </c>
      <c r="I421" s="22" t="s">
        <v>1189</v>
      </c>
      <c r="J421" s="1" t="s">
        <v>2567</v>
      </c>
    </row>
    <row r="422" spans="1:10" x14ac:dyDescent="0.25">
      <c r="A422" s="1" t="s">
        <v>4542</v>
      </c>
      <c r="B422" s="1" t="s">
        <v>4552</v>
      </c>
      <c r="C422" s="2">
        <v>44788</v>
      </c>
      <c r="D422" s="6"/>
      <c r="E422" s="6">
        <v>936</v>
      </c>
      <c r="F422" s="1" t="s">
        <v>473</v>
      </c>
      <c r="G422" s="14" t="s">
        <v>3403</v>
      </c>
      <c r="H422" s="1" t="s">
        <v>1109</v>
      </c>
      <c r="I422" s="22" t="s">
        <v>3404</v>
      </c>
      <c r="J422" s="1" t="s">
        <v>4553</v>
      </c>
    </row>
    <row r="423" spans="1:10" x14ac:dyDescent="0.25">
      <c r="A423" s="1" t="s">
        <v>4543</v>
      </c>
      <c r="B423" s="1" t="s">
        <v>4554</v>
      </c>
      <c r="C423" s="2">
        <v>44788</v>
      </c>
      <c r="D423" s="6">
        <v>52.32</v>
      </c>
      <c r="E423" s="6">
        <v>62.82</v>
      </c>
      <c r="F423" s="1" t="s">
        <v>467</v>
      </c>
      <c r="G423" s="14" t="s">
        <v>3397</v>
      </c>
      <c r="H423" s="1" t="s">
        <v>1099</v>
      </c>
      <c r="I423" s="22" t="s">
        <v>1117</v>
      </c>
      <c r="J423" s="1" t="s">
        <v>4555</v>
      </c>
    </row>
    <row r="424" spans="1:10" x14ac:dyDescent="0.25">
      <c r="A424" s="1" t="s">
        <v>4544</v>
      </c>
      <c r="B424" s="1" t="s">
        <v>4556</v>
      </c>
      <c r="C424" s="2">
        <v>44789</v>
      </c>
      <c r="D424" s="6">
        <v>20360.599999999999</v>
      </c>
      <c r="E424" s="6">
        <v>25620.92</v>
      </c>
      <c r="F424" s="1" t="s">
        <v>475</v>
      </c>
      <c r="G424" s="14" t="s">
        <v>3411</v>
      </c>
      <c r="H424" s="1" t="s">
        <v>1115</v>
      </c>
      <c r="I424" s="22" t="s">
        <v>3412</v>
      </c>
      <c r="J424" s="1" t="s">
        <v>4557</v>
      </c>
    </row>
    <row r="425" spans="1:10" x14ac:dyDescent="0.25">
      <c r="A425" s="1" t="s">
        <v>4545</v>
      </c>
      <c r="B425" s="1" t="s">
        <v>4558</v>
      </c>
      <c r="C425" s="2">
        <v>44789</v>
      </c>
      <c r="D425" s="6">
        <v>598</v>
      </c>
      <c r="E425" s="6">
        <v>717.6</v>
      </c>
      <c r="F425" s="1" t="s">
        <v>470</v>
      </c>
      <c r="G425" s="14" t="s">
        <v>3399</v>
      </c>
      <c r="H425" s="1" t="s">
        <v>1101</v>
      </c>
      <c r="I425" s="22" t="s">
        <v>4559</v>
      </c>
      <c r="J425" s="1" t="s">
        <v>4560</v>
      </c>
    </row>
    <row r="426" spans="1:10" x14ac:dyDescent="0.25">
      <c r="A426" s="1" t="s">
        <v>4546</v>
      </c>
      <c r="B426" s="1" t="s">
        <v>4561</v>
      </c>
      <c r="C426" s="2">
        <v>44789</v>
      </c>
      <c r="D426" s="6">
        <v>497.9</v>
      </c>
      <c r="E426" s="6">
        <v>597.48</v>
      </c>
      <c r="F426" s="1" t="s">
        <v>472</v>
      </c>
      <c r="G426" s="14" t="s">
        <v>3415</v>
      </c>
      <c r="H426" s="1" t="s">
        <v>1151</v>
      </c>
      <c r="I426" s="22" t="s">
        <v>4562</v>
      </c>
      <c r="J426" s="1" t="s">
        <v>4563</v>
      </c>
    </row>
    <row r="427" spans="1:10" x14ac:dyDescent="0.25">
      <c r="A427" s="1" t="s">
        <v>4547</v>
      </c>
      <c r="B427" s="1" t="s">
        <v>4564</v>
      </c>
      <c r="C427" s="2">
        <v>44790</v>
      </c>
      <c r="D427" s="6">
        <v>162.6</v>
      </c>
      <c r="E427" s="6">
        <v>195.12</v>
      </c>
      <c r="F427" s="1" t="s">
        <v>468</v>
      </c>
      <c r="G427" s="14" t="s">
        <v>4525</v>
      </c>
      <c r="H427" s="1" t="s">
        <v>1098</v>
      </c>
      <c r="I427" s="22" t="s">
        <v>1189</v>
      </c>
      <c r="J427" s="1" t="s">
        <v>4565</v>
      </c>
    </row>
    <row r="428" spans="1:10" x14ac:dyDescent="0.25">
      <c r="A428" s="1" t="s">
        <v>4548</v>
      </c>
      <c r="B428" s="1" t="s">
        <v>4566</v>
      </c>
      <c r="C428" s="2">
        <v>44790</v>
      </c>
      <c r="D428" s="6">
        <v>1734.35</v>
      </c>
      <c r="E428" s="6">
        <v>2081.2199999999998</v>
      </c>
      <c r="F428" s="1" t="s">
        <v>468</v>
      </c>
      <c r="G428" s="14" t="s">
        <v>4525</v>
      </c>
      <c r="H428" s="1" t="s">
        <v>1098</v>
      </c>
      <c r="I428" s="22" t="s">
        <v>1189</v>
      </c>
      <c r="J428" s="1" t="s">
        <v>4567</v>
      </c>
    </row>
    <row r="429" spans="1:10" x14ac:dyDescent="0.25">
      <c r="A429" s="1" t="s">
        <v>4549</v>
      </c>
      <c r="B429" s="1" t="s">
        <v>4568</v>
      </c>
      <c r="C429" s="2">
        <v>44790</v>
      </c>
      <c r="D429" s="6">
        <v>78.16</v>
      </c>
      <c r="E429" s="6">
        <v>93.79</v>
      </c>
      <c r="F429" s="1" t="s">
        <v>468</v>
      </c>
      <c r="G429" s="14" t="s">
        <v>4525</v>
      </c>
      <c r="H429" s="1" t="s">
        <v>1098</v>
      </c>
      <c r="I429" s="22" t="s">
        <v>1189</v>
      </c>
      <c r="J429" s="1" t="s">
        <v>3845</v>
      </c>
    </row>
    <row r="430" spans="1:10" x14ac:dyDescent="0.25">
      <c r="A430" s="1" t="s">
        <v>4550</v>
      </c>
      <c r="B430" s="1" t="s">
        <v>4569</v>
      </c>
      <c r="C430" s="2">
        <v>44795</v>
      </c>
      <c r="D430" s="6">
        <v>53.86</v>
      </c>
      <c r="E430" s="6">
        <v>64.63</v>
      </c>
      <c r="F430" s="1" t="s">
        <v>468</v>
      </c>
      <c r="G430" s="14" t="s">
        <v>4525</v>
      </c>
      <c r="H430" s="1" t="s">
        <v>1098</v>
      </c>
      <c r="I430" s="22" t="s">
        <v>1189</v>
      </c>
      <c r="J430" s="1" t="s">
        <v>3845</v>
      </c>
    </row>
    <row r="431" spans="1:10" x14ac:dyDescent="0.25">
      <c r="A431" s="1" t="s">
        <v>4551</v>
      </c>
      <c r="B431" s="1" t="s">
        <v>4570</v>
      </c>
      <c r="C431" s="2">
        <v>44795</v>
      </c>
      <c r="D431" s="6">
        <v>318.87</v>
      </c>
      <c r="E431" s="6">
        <v>382.65</v>
      </c>
      <c r="F431" s="1" t="s">
        <v>468</v>
      </c>
      <c r="G431" s="14" t="s">
        <v>4525</v>
      </c>
      <c r="H431" s="1" t="s">
        <v>1098</v>
      </c>
      <c r="I431" s="22" t="s">
        <v>1189</v>
      </c>
      <c r="J431" s="1" t="s">
        <v>2567</v>
      </c>
    </row>
    <row r="432" spans="1:10" x14ac:dyDescent="0.25">
      <c r="A432" s="1" t="s">
        <v>4571</v>
      </c>
      <c r="B432" s="1" t="s">
        <v>4574</v>
      </c>
      <c r="C432" s="2">
        <v>44795</v>
      </c>
      <c r="D432" s="6">
        <v>12682.5</v>
      </c>
      <c r="E432" s="6">
        <v>15219</v>
      </c>
      <c r="F432" s="1" t="s">
        <v>468</v>
      </c>
      <c r="G432" s="14" t="s">
        <v>4525</v>
      </c>
      <c r="H432" s="1" t="s">
        <v>1098</v>
      </c>
      <c r="I432" s="22" t="s">
        <v>1189</v>
      </c>
      <c r="J432" s="1" t="s">
        <v>4575</v>
      </c>
    </row>
    <row r="433" spans="1:10" x14ac:dyDescent="0.25">
      <c r="A433" s="1" t="s">
        <v>4572</v>
      </c>
      <c r="B433" s="1" t="s">
        <v>4576</v>
      </c>
      <c r="C433" s="2">
        <v>44795</v>
      </c>
      <c r="D433" s="6">
        <v>12682.5</v>
      </c>
      <c r="E433" s="6">
        <v>15219</v>
      </c>
      <c r="F433" s="1" t="s">
        <v>468</v>
      </c>
      <c r="G433" s="14" t="s">
        <v>4525</v>
      </c>
      <c r="H433" s="1" t="s">
        <v>1098</v>
      </c>
      <c r="I433" s="22" t="s">
        <v>1189</v>
      </c>
      <c r="J433" s="1" t="s">
        <v>4577</v>
      </c>
    </row>
    <row r="434" spans="1:10" x14ac:dyDescent="0.25">
      <c r="A434" s="1" t="s">
        <v>4573</v>
      </c>
      <c r="B434" s="1" t="s">
        <v>4578</v>
      </c>
      <c r="C434" s="2">
        <v>44795</v>
      </c>
      <c r="D434" s="6">
        <v>566.66999999999996</v>
      </c>
      <c r="E434" s="6">
        <v>680</v>
      </c>
      <c r="F434" s="1" t="s">
        <v>468</v>
      </c>
      <c r="G434" s="14" t="s">
        <v>4525</v>
      </c>
      <c r="H434" s="1" t="s">
        <v>1098</v>
      </c>
      <c r="I434" s="22" t="s">
        <v>1189</v>
      </c>
      <c r="J434" s="1" t="s">
        <v>4579</v>
      </c>
    </row>
    <row r="435" spans="1:10" x14ac:dyDescent="0.25">
      <c r="A435" s="1" t="s">
        <v>4580</v>
      </c>
      <c r="B435" s="1" t="s">
        <v>4590</v>
      </c>
      <c r="C435" s="2">
        <v>44796</v>
      </c>
      <c r="D435" s="6">
        <v>3460</v>
      </c>
      <c r="E435" s="6">
        <v>4152</v>
      </c>
      <c r="F435" s="1" t="s">
        <v>468</v>
      </c>
      <c r="G435" s="14" t="s">
        <v>4525</v>
      </c>
      <c r="H435" s="1" t="s">
        <v>1098</v>
      </c>
      <c r="I435" s="22" t="s">
        <v>1189</v>
      </c>
      <c r="J435" s="1" t="s">
        <v>4591</v>
      </c>
    </row>
    <row r="436" spans="1:10" x14ac:dyDescent="0.25">
      <c r="A436" s="1" t="s">
        <v>4581</v>
      </c>
      <c r="B436" s="1" t="s">
        <v>4592</v>
      </c>
      <c r="C436" s="2">
        <v>44797</v>
      </c>
      <c r="D436" s="6"/>
      <c r="E436" s="6">
        <v>16.5</v>
      </c>
      <c r="F436" s="1" t="s">
        <v>469</v>
      </c>
      <c r="G436" s="14" t="s">
        <v>3407</v>
      </c>
      <c r="H436" s="1"/>
      <c r="I436" s="22"/>
      <c r="J436" s="1" t="s">
        <v>4413</v>
      </c>
    </row>
    <row r="437" spans="1:10" x14ac:dyDescent="0.25">
      <c r="A437" s="1" t="s">
        <v>4582</v>
      </c>
      <c r="B437" s="1" t="s">
        <v>4593</v>
      </c>
      <c r="C437" s="2">
        <v>44797</v>
      </c>
      <c r="D437" s="6">
        <v>100</v>
      </c>
      <c r="E437" s="6">
        <v>120</v>
      </c>
      <c r="F437" s="1" t="s">
        <v>2374</v>
      </c>
      <c r="G437" s="14" t="s">
        <v>3693</v>
      </c>
      <c r="H437" s="1" t="s">
        <v>2375</v>
      </c>
      <c r="I437" s="22" t="s">
        <v>4594</v>
      </c>
      <c r="J437" s="1" t="s">
        <v>4595</v>
      </c>
    </row>
    <row r="438" spans="1:10" x14ac:dyDescent="0.25">
      <c r="A438" s="1" t="s">
        <v>4583</v>
      </c>
      <c r="B438" s="1" t="s">
        <v>4596</v>
      </c>
      <c r="C438" s="2">
        <v>44797</v>
      </c>
      <c r="D438" s="6">
        <v>324</v>
      </c>
      <c r="E438" s="6">
        <v>388.8</v>
      </c>
      <c r="F438" s="1" t="s">
        <v>2374</v>
      </c>
      <c r="G438" s="14" t="s">
        <v>3693</v>
      </c>
      <c r="H438" s="1" t="s">
        <v>2375</v>
      </c>
      <c r="I438" s="22" t="s">
        <v>4597</v>
      </c>
      <c r="J438" s="1" t="s">
        <v>4598</v>
      </c>
    </row>
    <row r="439" spans="1:10" x14ac:dyDescent="0.25">
      <c r="A439" s="1" t="s">
        <v>4584</v>
      </c>
      <c r="B439" s="1" t="s">
        <v>4599</v>
      </c>
      <c r="C439" s="2">
        <v>44797</v>
      </c>
      <c r="D439" s="6">
        <v>50</v>
      </c>
      <c r="E439" s="6">
        <v>60</v>
      </c>
      <c r="F439" s="1" t="s">
        <v>2374</v>
      </c>
      <c r="G439" s="14" t="s">
        <v>3693</v>
      </c>
      <c r="H439" s="1" t="s">
        <v>2375</v>
      </c>
      <c r="I439" s="22" t="s">
        <v>4600</v>
      </c>
      <c r="J439" s="1" t="s">
        <v>4601</v>
      </c>
    </row>
    <row r="440" spans="1:10" x14ac:dyDescent="0.25">
      <c r="A440" s="1" t="s">
        <v>4585</v>
      </c>
      <c r="B440" s="1" t="s">
        <v>4602</v>
      </c>
      <c r="C440" s="2">
        <v>44797</v>
      </c>
      <c r="D440" s="6">
        <v>154</v>
      </c>
      <c r="E440" s="6">
        <v>184.8</v>
      </c>
      <c r="F440" s="1" t="s">
        <v>2374</v>
      </c>
      <c r="G440" s="14" t="s">
        <v>3693</v>
      </c>
      <c r="H440" s="1" t="s">
        <v>2375</v>
      </c>
      <c r="I440" s="22" t="s">
        <v>4603</v>
      </c>
      <c r="J440" s="1" t="s">
        <v>4604</v>
      </c>
    </row>
    <row r="441" spans="1:10" x14ac:dyDescent="0.25">
      <c r="A441" s="1" t="s">
        <v>4586</v>
      </c>
      <c r="B441" s="1" t="s">
        <v>4605</v>
      </c>
      <c r="C441" s="2">
        <v>44797</v>
      </c>
      <c r="D441" s="6"/>
      <c r="E441" s="6">
        <v>732</v>
      </c>
      <c r="F441" s="1" t="s">
        <v>486</v>
      </c>
      <c r="G441" s="14" t="s">
        <v>3528</v>
      </c>
      <c r="H441" s="1" t="s">
        <v>1133</v>
      </c>
      <c r="I441" s="22" t="s">
        <v>4606</v>
      </c>
      <c r="J441" s="1" t="s">
        <v>4607</v>
      </c>
    </row>
    <row r="442" spans="1:10" x14ac:dyDescent="0.25">
      <c r="A442" s="1" t="s">
        <v>4587</v>
      </c>
      <c r="B442" s="1" t="s">
        <v>4608</v>
      </c>
      <c r="C442" s="2">
        <v>44798</v>
      </c>
      <c r="D442" s="6">
        <v>129.16999999999999</v>
      </c>
      <c r="E442" s="6">
        <v>155</v>
      </c>
      <c r="F442" s="1" t="s">
        <v>468</v>
      </c>
      <c r="G442" s="14" t="s">
        <v>4525</v>
      </c>
      <c r="H442" s="1" t="s">
        <v>1098</v>
      </c>
      <c r="I442" s="22" t="s">
        <v>1189</v>
      </c>
      <c r="J442" s="1" t="s">
        <v>4609</v>
      </c>
    </row>
    <row r="443" spans="1:10" x14ac:dyDescent="0.25">
      <c r="A443" s="1" t="s">
        <v>4588</v>
      </c>
      <c r="B443" s="1" t="s">
        <v>4610</v>
      </c>
      <c r="C443" s="2">
        <v>44799</v>
      </c>
      <c r="D443" s="6"/>
      <c r="E443" s="6">
        <v>150</v>
      </c>
      <c r="F443" s="1" t="s">
        <v>3699</v>
      </c>
      <c r="G443" s="14" t="s">
        <v>3700</v>
      </c>
      <c r="H443" s="1" t="s">
        <v>3701</v>
      </c>
      <c r="I443" s="22"/>
      <c r="J443" s="1" t="s">
        <v>4611</v>
      </c>
    </row>
    <row r="444" spans="1:10" x14ac:dyDescent="0.25">
      <c r="A444" s="1" t="s">
        <v>4589</v>
      </c>
      <c r="B444" s="1" t="s">
        <v>4612</v>
      </c>
      <c r="C444" s="2">
        <v>44803</v>
      </c>
      <c r="D444" s="6">
        <v>3853.9</v>
      </c>
      <c r="E444" s="6">
        <v>4624.68</v>
      </c>
      <c r="F444" s="1" t="s">
        <v>4613</v>
      </c>
      <c r="G444" s="14" t="s">
        <v>4614</v>
      </c>
      <c r="H444" s="1" t="s">
        <v>4615</v>
      </c>
      <c r="I444" s="22" t="s">
        <v>4616</v>
      </c>
      <c r="J444" s="1" t="s">
        <v>4617</v>
      </c>
    </row>
    <row r="445" spans="1:10" x14ac:dyDescent="0.25">
      <c r="A445" s="1" t="s">
        <v>4618</v>
      </c>
      <c r="B445" s="1" t="s">
        <v>4638</v>
      </c>
      <c r="C445" s="2">
        <v>44809</v>
      </c>
      <c r="D445" s="6"/>
      <c r="E445" s="6">
        <v>17</v>
      </c>
      <c r="F445" s="1" t="s">
        <v>469</v>
      </c>
      <c r="G445" s="14" t="s">
        <v>3407</v>
      </c>
      <c r="H445" s="1"/>
      <c r="I445" s="22"/>
      <c r="J445" s="1" t="s">
        <v>4639</v>
      </c>
    </row>
    <row r="446" spans="1:10" x14ac:dyDescent="0.25">
      <c r="A446" s="1" t="s">
        <v>4619</v>
      </c>
      <c r="B446" s="1" t="s">
        <v>4640</v>
      </c>
      <c r="C446" s="2">
        <v>44809</v>
      </c>
      <c r="D446" s="6"/>
      <c r="E446" s="6">
        <v>49.5</v>
      </c>
      <c r="F446" s="1" t="s">
        <v>469</v>
      </c>
      <c r="G446" s="14" t="s">
        <v>3407</v>
      </c>
      <c r="H446" s="1"/>
      <c r="I446" s="22"/>
      <c r="J446" s="1" t="s">
        <v>4641</v>
      </c>
    </row>
    <row r="447" spans="1:10" x14ac:dyDescent="0.25">
      <c r="A447" s="1" t="s">
        <v>4620</v>
      </c>
      <c r="B447" s="1" t="s">
        <v>4642</v>
      </c>
      <c r="C447" s="2">
        <v>44809</v>
      </c>
      <c r="D447" s="6">
        <v>20056</v>
      </c>
      <c r="E447" s="6">
        <v>24067.200000000001</v>
      </c>
      <c r="F447" s="1" t="s">
        <v>468</v>
      </c>
      <c r="G447" s="14" t="s">
        <v>4525</v>
      </c>
      <c r="H447" s="1" t="s">
        <v>1098</v>
      </c>
      <c r="I447" s="22" t="s">
        <v>1189</v>
      </c>
      <c r="J447" s="1" t="s">
        <v>4643</v>
      </c>
    </row>
    <row r="448" spans="1:10" x14ac:dyDescent="0.25">
      <c r="A448" s="1" t="s">
        <v>4621</v>
      </c>
      <c r="B448" s="1" t="s">
        <v>4644</v>
      </c>
      <c r="C448" s="2">
        <v>44809</v>
      </c>
      <c r="D448" s="6">
        <v>608</v>
      </c>
      <c r="E448" s="6">
        <v>729.6</v>
      </c>
      <c r="F448" s="1" t="s">
        <v>2506</v>
      </c>
      <c r="G448" s="14" t="s">
        <v>4448</v>
      </c>
      <c r="H448" s="1" t="s">
        <v>2507</v>
      </c>
      <c r="I448" s="22" t="s">
        <v>4645</v>
      </c>
      <c r="J448" s="1" t="s">
        <v>4646</v>
      </c>
    </row>
    <row r="449" spans="1:10" x14ac:dyDescent="0.25">
      <c r="A449" s="1" t="s">
        <v>4622</v>
      </c>
      <c r="B449" s="1" t="s">
        <v>4647</v>
      </c>
      <c r="C449" s="2">
        <v>44809</v>
      </c>
      <c r="D449" s="6"/>
      <c r="E449" s="6">
        <v>7425</v>
      </c>
      <c r="F449" s="1" t="s">
        <v>475</v>
      </c>
      <c r="G449" s="14" t="s">
        <v>3411</v>
      </c>
      <c r="H449" s="1" t="s">
        <v>1115</v>
      </c>
      <c r="I449" s="22" t="s">
        <v>3412</v>
      </c>
      <c r="J449" s="1" t="s">
        <v>3704</v>
      </c>
    </row>
    <row r="450" spans="1:10" x14ac:dyDescent="0.25">
      <c r="A450" s="1" t="s">
        <v>4623</v>
      </c>
      <c r="B450" s="1" t="s">
        <v>4648</v>
      </c>
      <c r="C450" s="2">
        <v>44811</v>
      </c>
      <c r="D450" s="6">
        <v>1736</v>
      </c>
      <c r="E450" s="6">
        <v>2083.1999999999998</v>
      </c>
      <c r="F450" s="1" t="s">
        <v>2597</v>
      </c>
      <c r="G450" s="14" t="s">
        <v>3401</v>
      </c>
      <c r="H450" s="1" t="s">
        <v>2598</v>
      </c>
      <c r="I450" s="1" t="s">
        <v>3402</v>
      </c>
      <c r="J450" s="1" t="s">
        <v>4649</v>
      </c>
    </row>
    <row r="451" spans="1:10" x14ac:dyDescent="0.25">
      <c r="A451" s="1" t="s">
        <v>4624</v>
      </c>
      <c r="B451" s="1" t="s">
        <v>4650</v>
      </c>
      <c r="C451" s="2">
        <v>44811</v>
      </c>
      <c r="D451" s="6">
        <v>2064.4699999999998</v>
      </c>
      <c r="E451" s="6">
        <v>2477.36</v>
      </c>
      <c r="F451" s="1" t="s">
        <v>470</v>
      </c>
      <c r="G451" s="14" t="s">
        <v>3399</v>
      </c>
      <c r="H451" s="1" t="s">
        <v>1101</v>
      </c>
      <c r="I451" s="22" t="s">
        <v>3400</v>
      </c>
      <c r="J451" s="1" t="s">
        <v>4651</v>
      </c>
    </row>
    <row r="452" spans="1:10" x14ac:dyDescent="0.25">
      <c r="A452" s="1" t="s">
        <v>4625</v>
      </c>
      <c r="B452" s="1" t="s">
        <v>4652</v>
      </c>
      <c r="C452" s="2">
        <v>44811</v>
      </c>
      <c r="D452" s="6">
        <v>332</v>
      </c>
      <c r="E452" s="6">
        <v>398.4</v>
      </c>
      <c r="F452" s="1" t="s">
        <v>470</v>
      </c>
      <c r="G452" s="14" t="s">
        <v>3399</v>
      </c>
      <c r="H452" s="1" t="s">
        <v>1101</v>
      </c>
      <c r="I452" s="22" t="s">
        <v>4653</v>
      </c>
      <c r="J452" s="1" t="s">
        <v>4654</v>
      </c>
    </row>
    <row r="453" spans="1:10" x14ac:dyDescent="0.25">
      <c r="A453" s="1" t="s">
        <v>4626</v>
      </c>
      <c r="B453" s="1" t="s">
        <v>3319</v>
      </c>
      <c r="C453" s="2">
        <v>44811</v>
      </c>
      <c r="D453" s="6">
        <v>114</v>
      </c>
      <c r="E453" s="6">
        <v>136.80000000000001</v>
      </c>
      <c r="F453" s="1" t="s">
        <v>2374</v>
      </c>
      <c r="G453" s="14" t="s">
        <v>3693</v>
      </c>
      <c r="H453" s="1" t="s">
        <v>2375</v>
      </c>
      <c r="I453" s="22" t="s">
        <v>4655</v>
      </c>
      <c r="J453" s="1" t="s">
        <v>4656</v>
      </c>
    </row>
    <row r="454" spans="1:10" x14ac:dyDescent="0.25">
      <c r="A454" s="1" t="s">
        <v>4627</v>
      </c>
      <c r="B454" s="1" t="s">
        <v>4657</v>
      </c>
      <c r="C454" s="2">
        <v>44811</v>
      </c>
      <c r="D454" s="6">
        <v>139</v>
      </c>
      <c r="E454" s="6">
        <v>166.8</v>
      </c>
      <c r="F454" s="1" t="s">
        <v>2374</v>
      </c>
      <c r="G454" s="14" t="s">
        <v>3693</v>
      </c>
      <c r="H454" s="1" t="s">
        <v>2375</v>
      </c>
      <c r="I454" s="22" t="s">
        <v>4658</v>
      </c>
      <c r="J454" s="1" t="s">
        <v>4659</v>
      </c>
    </row>
    <row r="455" spans="1:10" x14ac:dyDescent="0.25">
      <c r="A455" s="1" t="s">
        <v>4628</v>
      </c>
      <c r="B455" s="1" t="s">
        <v>4660</v>
      </c>
      <c r="C455" s="2">
        <v>44811</v>
      </c>
      <c r="D455" s="6">
        <v>69</v>
      </c>
      <c r="E455" s="6">
        <v>82.8</v>
      </c>
      <c r="F455" s="1" t="s">
        <v>2374</v>
      </c>
      <c r="G455" s="14" t="s">
        <v>3693</v>
      </c>
      <c r="H455" s="1" t="s">
        <v>2375</v>
      </c>
      <c r="I455" s="22" t="s">
        <v>4661</v>
      </c>
      <c r="J455" s="1" t="s">
        <v>4662</v>
      </c>
    </row>
    <row r="456" spans="1:10" x14ac:dyDescent="0.25">
      <c r="A456" s="1" t="s">
        <v>4629</v>
      </c>
      <c r="B456" s="1" t="s">
        <v>4663</v>
      </c>
      <c r="C456" s="2">
        <v>44811</v>
      </c>
      <c r="D456" s="6">
        <v>53</v>
      </c>
      <c r="E456" s="6">
        <v>63.6</v>
      </c>
      <c r="F456" s="1" t="s">
        <v>2374</v>
      </c>
      <c r="G456" s="14" t="s">
        <v>3693</v>
      </c>
      <c r="H456" s="1" t="s">
        <v>2375</v>
      </c>
      <c r="I456" s="22" t="s">
        <v>4664</v>
      </c>
      <c r="J456" s="1" t="s">
        <v>4665</v>
      </c>
    </row>
    <row r="457" spans="1:10" x14ac:dyDescent="0.25">
      <c r="A457" s="1" t="s">
        <v>4630</v>
      </c>
      <c r="B457" s="1" t="s">
        <v>4666</v>
      </c>
      <c r="C457" s="2">
        <v>44811</v>
      </c>
      <c r="D457" s="6">
        <v>150</v>
      </c>
      <c r="E457" s="6">
        <v>180</v>
      </c>
      <c r="F457" s="1" t="s">
        <v>2374</v>
      </c>
      <c r="G457" s="14" t="s">
        <v>3693</v>
      </c>
      <c r="H457" s="1" t="s">
        <v>2375</v>
      </c>
      <c r="I457" s="22" t="s">
        <v>4668</v>
      </c>
      <c r="J457" s="1" t="s">
        <v>4669</v>
      </c>
    </row>
    <row r="458" spans="1:10" x14ac:dyDescent="0.25">
      <c r="A458" s="1" t="s">
        <v>4631</v>
      </c>
      <c r="B458" s="1" t="s">
        <v>4667</v>
      </c>
      <c r="C458" s="2">
        <v>44811</v>
      </c>
      <c r="D458" s="6">
        <v>150</v>
      </c>
      <c r="E458" s="6">
        <v>180</v>
      </c>
      <c r="F458" s="1" t="s">
        <v>2374</v>
      </c>
      <c r="G458" s="14" t="s">
        <v>3693</v>
      </c>
      <c r="H458" s="1" t="s">
        <v>2375</v>
      </c>
      <c r="I458" s="22" t="s">
        <v>4670</v>
      </c>
      <c r="J458" s="1" t="s">
        <v>4669</v>
      </c>
    </row>
    <row r="459" spans="1:10" x14ac:dyDescent="0.25">
      <c r="A459" s="1" t="s">
        <v>4632</v>
      </c>
      <c r="B459" s="1" t="s">
        <v>4671</v>
      </c>
      <c r="C459" s="2">
        <v>44811</v>
      </c>
      <c r="D459" s="6">
        <v>1476</v>
      </c>
      <c r="E459" s="6">
        <v>1771.2</v>
      </c>
      <c r="F459" s="1" t="s">
        <v>4516</v>
      </c>
      <c r="G459" s="14" t="s">
        <v>4517</v>
      </c>
      <c r="H459" s="1" t="s">
        <v>4518</v>
      </c>
      <c r="I459" s="22" t="s">
        <v>4522</v>
      </c>
      <c r="J459" s="1" t="s">
        <v>4672</v>
      </c>
    </row>
    <row r="460" spans="1:10" x14ac:dyDescent="0.25">
      <c r="A460" s="1" t="s">
        <v>4633</v>
      </c>
      <c r="B460" s="1" t="s">
        <v>4673</v>
      </c>
      <c r="C460" s="2">
        <v>44811</v>
      </c>
      <c r="D460" s="6">
        <v>1476</v>
      </c>
      <c r="E460" s="6">
        <v>1771.2</v>
      </c>
      <c r="F460" s="1" t="s">
        <v>4516</v>
      </c>
      <c r="G460" s="14" t="s">
        <v>4517</v>
      </c>
      <c r="H460" s="1" t="s">
        <v>4518</v>
      </c>
      <c r="I460" s="22" t="s">
        <v>4519</v>
      </c>
      <c r="J460" s="1" t="s">
        <v>4674</v>
      </c>
    </row>
    <row r="461" spans="1:10" x14ac:dyDescent="0.25">
      <c r="A461" s="1" t="s">
        <v>4634</v>
      </c>
      <c r="B461" s="1" t="s">
        <v>4675</v>
      </c>
      <c r="C461" s="2">
        <v>44811</v>
      </c>
      <c r="D461" s="6">
        <v>1089.83</v>
      </c>
      <c r="E461" s="6">
        <v>1307.8</v>
      </c>
      <c r="F461" s="1" t="s">
        <v>4676</v>
      </c>
      <c r="G461" s="14" t="s">
        <v>4677</v>
      </c>
      <c r="H461" s="1" t="s">
        <v>4678</v>
      </c>
      <c r="I461" s="22" t="s">
        <v>4679</v>
      </c>
      <c r="J461" s="1" t="s">
        <v>4680</v>
      </c>
    </row>
    <row r="462" spans="1:10" x14ac:dyDescent="0.25">
      <c r="A462" s="1" t="s">
        <v>4635</v>
      </c>
      <c r="B462" s="1" t="s">
        <v>4681</v>
      </c>
      <c r="C462" s="2">
        <v>44812</v>
      </c>
      <c r="D462" s="6">
        <v>264</v>
      </c>
      <c r="E462" s="6">
        <v>316.8</v>
      </c>
      <c r="F462" s="1" t="s">
        <v>488</v>
      </c>
      <c r="G462" s="1" t="s">
        <v>4513</v>
      </c>
      <c r="H462" s="1" t="s">
        <v>1137</v>
      </c>
      <c r="I462" s="22" t="s">
        <v>4514</v>
      </c>
      <c r="J462" s="1" t="s">
        <v>4682</v>
      </c>
    </row>
    <row r="463" spans="1:10" x14ac:dyDescent="0.25">
      <c r="A463" s="1" t="s">
        <v>4636</v>
      </c>
      <c r="B463" s="1" t="s">
        <v>4683</v>
      </c>
      <c r="C463" s="2">
        <v>44812</v>
      </c>
      <c r="D463" s="6">
        <v>26.4</v>
      </c>
      <c r="E463" s="6">
        <v>26.4</v>
      </c>
      <c r="F463" s="1" t="s">
        <v>468</v>
      </c>
      <c r="G463" s="14" t="s">
        <v>3398</v>
      </c>
      <c r="H463" s="1" t="s">
        <v>1098</v>
      </c>
      <c r="I463" s="22" t="s">
        <v>1189</v>
      </c>
      <c r="J463" s="1" t="s">
        <v>4684</v>
      </c>
    </row>
    <row r="464" spans="1:10" x14ac:dyDescent="0.25">
      <c r="A464" s="1" t="s">
        <v>4637</v>
      </c>
      <c r="B464" s="1" t="s">
        <v>4685</v>
      </c>
      <c r="C464" s="2">
        <v>44812</v>
      </c>
      <c r="D464" s="6">
        <v>3082.12</v>
      </c>
      <c r="E464" s="6">
        <v>3698.55</v>
      </c>
      <c r="F464" s="1" t="s">
        <v>468</v>
      </c>
      <c r="G464" s="14" t="s">
        <v>3398</v>
      </c>
      <c r="H464" s="1" t="s">
        <v>1098</v>
      </c>
      <c r="I464" s="22" t="s">
        <v>1189</v>
      </c>
      <c r="J464" s="1" t="s">
        <v>4686</v>
      </c>
    </row>
    <row r="465" spans="1:10" x14ac:dyDescent="0.25">
      <c r="A465" s="1" t="s">
        <v>4687</v>
      </c>
      <c r="B465" s="1" t="s">
        <v>4701</v>
      </c>
      <c r="C465" s="2">
        <v>44816</v>
      </c>
      <c r="D465" s="6"/>
      <c r="E465" s="6">
        <v>346.5</v>
      </c>
      <c r="F465" s="1" t="s">
        <v>4349</v>
      </c>
      <c r="G465" s="14" t="s">
        <v>4350</v>
      </c>
      <c r="H465" s="1"/>
      <c r="I465" s="22"/>
      <c r="J465" s="1" t="s">
        <v>3783</v>
      </c>
    </row>
    <row r="466" spans="1:10" x14ac:dyDescent="0.25">
      <c r="A466" s="1" t="s">
        <v>4688</v>
      </c>
      <c r="B466" s="1" t="s">
        <v>4702</v>
      </c>
      <c r="C466" s="2">
        <v>44816</v>
      </c>
      <c r="D466" s="6">
        <v>12682.5</v>
      </c>
      <c r="E466" s="6">
        <v>15219</v>
      </c>
      <c r="F466" s="1" t="s">
        <v>468</v>
      </c>
      <c r="G466" s="14" t="s">
        <v>3398</v>
      </c>
      <c r="H466" s="1" t="s">
        <v>1098</v>
      </c>
      <c r="I466" s="22" t="s">
        <v>1189</v>
      </c>
      <c r="J466" s="1" t="s">
        <v>4703</v>
      </c>
    </row>
    <row r="467" spans="1:10" x14ac:dyDescent="0.25">
      <c r="A467" s="1" t="s">
        <v>4689</v>
      </c>
      <c r="B467" s="1" t="s">
        <v>4704</v>
      </c>
      <c r="C467" s="2">
        <v>44816</v>
      </c>
      <c r="D467" s="6">
        <v>10.83</v>
      </c>
      <c r="E467" s="6">
        <v>13</v>
      </c>
      <c r="F467" s="1" t="s">
        <v>468</v>
      </c>
      <c r="G467" s="14" t="s">
        <v>3398</v>
      </c>
      <c r="H467" s="1" t="s">
        <v>1098</v>
      </c>
      <c r="I467" s="22" t="s">
        <v>1189</v>
      </c>
      <c r="J467" s="1" t="s">
        <v>4686</v>
      </c>
    </row>
    <row r="468" spans="1:10" x14ac:dyDescent="0.25">
      <c r="A468" s="1" t="s">
        <v>4690</v>
      </c>
      <c r="B468" s="1" t="s">
        <v>4705</v>
      </c>
      <c r="C468" s="2">
        <v>44816</v>
      </c>
      <c r="D468" s="6">
        <v>772.5</v>
      </c>
      <c r="E468" s="6">
        <v>927</v>
      </c>
      <c r="F468" s="1" t="s">
        <v>468</v>
      </c>
      <c r="G468" s="14" t="s">
        <v>3398</v>
      </c>
      <c r="H468" s="1" t="s">
        <v>1098</v>
      </c>
      <c r="I468" s="22" t="s">
        <v>1189</v>
      </c>
      <c r="J468" s="1" t="s">
        <v>3386</v>
      </c>
    </row>
    <row r="469" spans="1:10" x14ac:dyDescent="0.25">
      <c r="A469" s="1" t="s">
        <v>4691</v>
      </c>
      <c r="B469" s="1" t="s">
        <v>4706</v>
      </c>
      <c r="C469" s="2">
        <v>44816</v>
      </c>
      <c r="D469" s="6">
        <v>759.5</v>
      </c>
      <c r="E469" s="6">
        <v>911.4</v>
      </c>
      <c r="F469" s="1" t="s">
        <v>468</v>
      </c>
      <c r="G469" s="14" t="s">
        <v>3398</v>
      </c>
      <c r="H469" s="1" t="s">
        <v>1098</v>
      </c>
      <c r="I469" s="22" t="s">
        <v>1189</v>
      </c>
      <c r="J469" s="1" t="s">
        <v>4388</v>
      </c>
    </row>
    <row r="470" spans="1:10" x14ac:dyDescent="0.25">
      <c r="A470" s="1" t="s">
        <v>4692</v>
      </c>
      <c r="B470" s="1" t="s">
        <v>4707</v>
      </c>
      <c r="C470" s="2">
        <v>44816</v>
      </c>
      <c r="D470" s="6">
        <v>85.75</v>
      </c>
      <c r="E470" s="6">
        <v>102.9</v>
      </c>
      <c r="F470" s="1" t="s">
        <v>468</v>
      </c>
      <c r="G470" s="14" t="s">
        <v>3398</v>
      </c>
      <c r="H470" s="1" t="s">
        <v>1098</v>
      </c>
      <c r="I470" s="22" t="s">
        <v>1189</v>
      </c>
      <c r="J470" s="1" t="s">
        <v>4708</v>
      </c>
    </row>
    <row r="471" spans="1:10" x14ac:dyDescent="0.25">
      <c r="A471" s="1" t="s">
        <v>4693</v>
      </c>
      <c r="B471" s="1" t="s">
        <v>4709</v>
      </c>
      <c r="C471" s="2">
        <v>44817</v>
      </c>
      <c r="D471" s="6"/>
      <c r="E471" s="6">
        <v>936</v>
      </c>
      <c r="F471" s="1" t="s">
        <v>473</v>
      </c>
      <c r="G471" s="14" t="s">
        <v>3403</v>
      </c>
      <c r="H471" s="1" t="s">
        <v>1109</v>
      </c>
      <c r="I471" s="22" t="s">
        <v>3404</v>
      </c>
      <c r="J471" s="1" t="s">
        <v>4710</v>
      </c>
    </row>
    <row r="472" spans="1:10" x14ac:dyDescent="0.25">
      <c r="A472" s="1" t="s">
        <v>4694</v>
      </c>
      <c r="B472" s="1" t="s">
        <v>4711</v>
      </c>
      <c r="C472" s="2">
        <v>44817</v>
      </c>
      <c r="D472" s="6">
        <v>165.96</v>
      </c>
      <c r="E472" s="6">
        <v>199.15</v>
      </c>
      <c r="F472" s="1" t="s">
        <v>466</v>
      </c>
      <c r="G472" s="14" t="s">
        <v>3406</v>
      </c>
      <c r="H472" s="1" t="s">
        <v>1105</v>
      </c>
      <c r="I472" s="22" t="s">
        <v>4501</v>
      </c>
      <c r="J472" s="1" t="s">
        <v>4712</v>
      </c>
    </row>
    <row r="473" spans="1:10" x14ac:dyDescent="0.25">
      <c r="A473" s="1" t="s">
        <v>4695</v>
      </c>
      <c r="B473" s="1" t="s">
        <v>4713</v>
      </c>
      <c r="C473" s="2">
        <v>44817</v>
      </c>
      <c r="D473" s="6">
        <v>924</v>
      </c>
      <c r="E473" s="6">
        <v>1108.8</v>
      </c>
      <c r="F473" s="1" t="s">
        <v>2506</v>
      </c>
      <c r="G473" s="14" t="s">
        <v>4448</v>
      </c>
      <c r="H473" s="1" t="s">
        <v>2507</v>
      </c>
      <c r="I473" s="22" t="s">
        <v>4714</v>
      </c>
      <c r="J473" s="1" t="s">
        <v>4715</v>
      </c>
    </row>
    <row r="474" spans="1:10" x14ac:dyDescent="0.25">
      <c r="A474" s="1" t="s">
        <v>4696</v>
      </c>
      <c r="B474" s="1" t="s">
        <v>4716</v>
      </c>
      <c r="C474" s="2">
        <v>44817</v>
      </c>
      <c r="D474" s="6">
        <v>228.55</v>
      </c>
      <c r="E474" s="6">
        <v>274.26</v>
      </c>
      <c r="F474" s="1" t="s">
        <v>468</v>
      </c>
      <c r="G474" s="14" t="s">
        <v>3398</v>
      </c>
      <c r="H474" s="1" t="s">
        <v>1098</v>
      </c>
      <c r="I474" s="22" t="s">
        <v>1189</v>
      </c>
      <c r="J474" s="1" t="s">
        <v>3619</v>
      </c>
    </row>
    <row r="475" spans="1:10" x14ac:dyDescent="0.25">
      <c r="A475" s="1" t="s">
        <v>4697</v>
      </c>
      <c r="B475" s="1" t="s">
        <v>4717</v>
      </c>
      <c r="C475" s="2">
        <v>44817</v>
      </c>
      <c r="D475" s="6"/>
      <c r="E475" s="6">
        <v>4176</v>
      </c>
      <c r="F475" s="1" t="s">
        <v>486</v>
      </c>
      <c r="G475" s="14" t="s">
        <v>3528</v>
      </c>
      <c r="H475" s="1" t="s">
        <v>1133</v>
      </c>
      <c r="I475" s="22" t="s">
        <v>4718</v>
      </c>
      <c r="J475" s="1" t="s">
        <v>4719</v>
      </c>
    </row>
    <row r="476" spans="1:10" x14ac:dyDescent="0.25">
      <c r="A476" s="1" t="s">
        <v>4698</v>
      </c>
      <c r="B476" s="1" t="s">
        <v>4720</v>
      </c>
      <c r="C476" s="2">
        <v>44817</v>
      </c>
      <c r="D476" s="6"/>
      <c r="E476" s="6">
        <v>100</v>
      </c>
      <c r="F476" s="1" t="s">
        <v>4721</v>
      </c>
      <c r="G476" s="14" t="s">
        <v>4722</v>
      </c>
      <c r="H476" s="1" t="s">
        <v>4723</v>
      </c>
      <c r="I476" s="22" t="s">
        <v>4724</v>
      </c>
      <c r="J476" s="1" t="s">
        <v>4725</v>
      </c>
    </row>
    <row r="477" spans="1:10" x14ac:dyDescent="0.25">
      <c r="A477" s="1" t="s">
        <v>4699</v>
      </c>
      <c r="B477" s="1" t="s">
        <v>4726</v>
      </c>
      <c r="C477" s="2">
        <v>44817</v>
      </c>
      <c r="D477" s="6">
        <v>174.1</v>
      </c>
      <c r="E477" s="6">
        <v>208.92</v>
      </c>
      <c r="F477" s="1" t="s">
        <v>4516</v>
      </c>
      <c r="G477" s="14" t="s">
        <v>4517</v>
      </c>
      <c r="H477" s="1" t="s">
        <v>4518</v>
      </c>
      <c r="I477" s="22" t="s">
        <v>4727</v>
      </c>
      <c r="J477" s="1" t="s">
        <v>4728</v>
      </c>
    </row>
    <row r="478" spans="1:10" x14ac:dyDescent="0.25">
      <c r="A478" s="1" t="s">
        <v>4700</v>
      </c>
      <c r="B478" s="1" t="s">
        <v>3878</v>
      </c>
      <c r="C478" s="2">
        <v>44818</v>
      </c>
      <c r="D478" s="6"/>
      <c r="E478" s="6">
        <v>7658.5</v>
      </c>
      <c r="F478" s="1" t="s">
        <v>3509</v>
      </c>
      <c r="G478" s="1" t="s">
        <v>3510</v>
      </c>
      <c r="H478" s="1" t="s">
        <v>3511</v>
      </c>
      <c r="I478" s="22" t="s">
        <v>3512</v>
      </c>
      <c r="J478" s="1" t="s">
        <v>4729</v>
      </c>
    </row>
    <row r="479" spans="1:10" x14ac:dyDescent="0.25">
      <c r="A479" s="1" t="s">
        <v>4730</v>
      </c>
      <c r="B479" s="1" t="s">
        <v>4743</v>
      </c>
      <c r="C479" s="2">
        <v>44823</v>
      </c>
      <c r="D479" s="6">
        <v>52.32</v>
      </c>
      <c r="E479" s="6">
        <v>62.82</v>
      </c>
      <c r="F479" s="1" t="s">
        <v>467</v>
      </c>
      <c r="G479" s="14" t="s">
        <v>3397</v>
      </c>
      <c r="H479" s="1" t="s">
        <v>1099</v>
      </c>
      <c r="I479" s="22" t="s">
        <v>1117</v>
      </c>
      <c r="J479" s="1" t="s">
        <v>4744</v>
      </c>
    </row>
    <row r="480" spans="1:10" x14ac:dyDescent="0.25">
      <c r="A480" s="1" t="s">
        <v>4731</v>
      </c>
      <c r="B480" s="1" t="s">
        <v>4745</v>
      </c>
      <c r="C480" s="2">
        <v>44823</v>
      </c>
      <c r="D480" s="6">
        <v>-160.08000000000001</v>
      </c>
      <c r="E480" s="6">
        <v>-192.09</v>
      </c>
      <c r="F480" s="1" t="s">
        <v>4531</v>
      </c>
      <c r="G480" s="14" t="s">
        <v>4532</v>
      </c>
      <c r="H480" s="1" t="s">
        <v>1107</v>
      </c>
      <c r="I480" s="22" t="s">
        <v>3410</v>
      </c>
      <c r="J480" s="1" t="s">
        <v>4746</v>
      </c>
    </row>
    <row r="481" spans="1:10" x14ac:dyDescent="0.25">
      <c r="A481" s="1" t="s">
        <v>4732</v>
      </c>
      <c r="B481" s="1" t="s">
        <v>4747</v>
      </c>
      <c r="C481" s="2">
        <v>44823</v>
      </c>
      <c r="D481" s="6">
        <v>60</v>
      </c>
      <c r="E481" s="6">
        <v>72</v>
      </c>
      <c r="F481" s="1" t="s">
        <v>4748</v>
      </c>
      <c r="G481" s="14" t="s">
        <v>4749</v>
      </c>
      <c r="H481" s="1" t="s">
        <v>4750</v>
      </c>
      <c r="I481" s="22"/>
      <c r="J481" s="1" t="s">
        <v>4751</v>
      </c>
    </row>
    <row r="482" spans="1:10" x14ac:dyDescent="0.25">
      <c r="A482" s="1" t="s">
        <v>4733</v>
      </c>
      <c r="B482" s="1" t="s">
        <v>4752</v>
      </c>
      <c r="C482" s="2">
        <v>44823</v>
      </c>
      <c r="D482" s="6">
        <v>264</v>
      </c>
      <c r="E482" s="6">
        <v>316.8</v>
      </c>
      <c r="F482" s="1" t="s">
        <v>488</v>
      </c>
      <c r="G482" s="1" t="s">
        <v>4513</v>
      </c>
      <c r="H482" s="1" t="s">
        <v>1137</v>
      </c>
      <c r="I482" s="22" t="s">
        <v>4514</v>
      </c>
      <c r="J482" s="1" t="s">
        <v>4753</v>
      </c>
    </row>
    <row r="483" spans="1:10" x14ac:dyDescent="0.25">
      <c r="A483" s="1" t="s">
        <v>4734</v>
      </c>
      <c r="B483" s="1" t="s">
        <v>4754</v>
      </c>
      <c r="C483" s="2">
        <v>44824</v>
      </c>
      <c r="D483" s="6">
        <v>3452.5</v>
      </c>
      <c r="E483" s="6">
        <v>4143</v>
      </c>
      <c r="F483" s="1" t="s">
        <v>468</v>
      </c>
      <c r="G483" s="14" t="s">
        <v>3398</v>
      </c>
      <c r="H483" s="1" t="s">
        <v>1098</v>
      </c>
      <c r="I483" s="22" t="s">
        <v>1189</v>
      </c>
      <c r="J483" s="1" t="s">
        <v>4755</v>
      </c>
    </row>
    <row r="484" spans="1:10" x14ac:dyDescent="0.25">
      <c r="A484" s="1" t="s">
        <v>4735</v>
      </c>
      <c r="B484" s="1" t="s">
        <v>4756</v>
      </c>
      <c r="C484" s="2">
        <v>44824</v>
      </c>
      <c r="D484" s="6">
        <v>874.69</v>
      </c>
      <c r="E484" s="6">
        <v>1049.6300000000001</v>
      </c>
      <c r="F484" s="1" t="s">
        <v>468</v>
      </c>
      <c r="G484" s="14" t="s">
        <v>3398</v>
      </c>
      <c r="H484" s="1" t="s">
        <v>1098</v>
      </c>
      <c r="I484" s="22" t="s">
        <v>1189</v>
      </c>
      <c r="J484" s="1" t="s">
        <v>4757</v>
      </c>
    </row>
    <row r="485" spans="1:10" x14ac:dyDescent="0.25">
      <c r="A485" s="1" t="s">
        <v>4736</v>
      </c>
      <c r="B485" s="1" t="s">
        <v>4758</v>
      </c>
      <c r="C485" s="2">
        <v>44824</v>
      </c>
      <c r="D485" s="6">
        <v>162.6</v>
      </c>
      <c r="E485" s="6">
        <v>195.12</v>
      </c>
      <c r="F485" s="1" t="s">
        <v>468</v>
      </c>
      <c r="G485" s="14" t="s">
        <v>3398</v>
      </c>
      <c r="H485" s="1" t="s">
        <v>1098</v>
      </c>
      <c r="I485" s="22" t="s">
        <v>1189</v>
      </c>
      <c r="J485" s="1" t="s">
        <v>4759</v>
      </c>
    </row>
    <row r="486" spans="1:10" x14ac:dyDescent="0.25">
      <c r="A486" s="1" t="s">
        <v>4737</v>
      </c>
      <c r="B486" s="1" t="s">
        <v>4760</v>
      </c>
      <c r="C486" s="2">
        <v>44824</v>
      </c>
      <c r="D486" s="6">
        <v>34.6</v>
      </c>
      <c r="E486" s="6">
        <v>41.52</v>
      </c>
      <c r="F486" s="1" t="s">
        <v>468</v>
      </c>
      <c r="G486" s="14" t="s">
        <v>3398</v>
      </c>
      <c r="H486" s="1" t="s">
        <v>1098</v>
      </c>
      <c r="I486" s="22" t="s">
        <v>1189</v>
      </c>
      <c r="J486" s="1" t="s">
        <v>4761</v>
      </c>
    </row>
    <row r="487" spans="1:10" x14ac:dyDescent="0.25">
      <c r="A487" s="1" t="s">
        <v>4738</v>
      </c>
      <c r="B487" s="1" t="s">
        <v>4762</v>
      </c>
      <c r="C487" s="2">
        <v>44824</v>
      </c>
      <c r="D487" s="6">
        <v>300</v>
      </c>
      <c r="E487" s="6">
        <v>360</v>
      </c>
      <c r="F487" s="1" t="s">
        <v>4763</v>
      </c>
      <c r="G487" s="14" t="s">
        <v>4764</v>
      </c>
      <c r="H487" s="1" t="s">
        <v>4765</v>
      </c>
      <c r="I487" s="22" t="s">
        <v>4766</v>
      </c>
      <c r="J487" s="1" t="s">
        <v>4767</v>
      </c>
    </row>
    <row r="488" spans="1:10" x14ac:dyDescent="0.25">
      <c r="A488" s="1" t="s">
        <v>4739</v>
      </c>
      <c r="B488" s="1" t="s">
        <v>4768</v>
      </c>
      <c r="C488" s="2">
        <v>44824</v>
      </c>
      <c r="D488" s="6">
        <v>300</v>
      </c>
      <c r="E488" s="6">
        <v>360</v>
      </c>
      <c r="F488" s="1" t="s">
        <v>4763</v>
      </c>
      <c r="G488" s="14" t="s">
        <v>4764</v>
      </c>
      <c r="H488" s="1" t="s">
        <v>4765</v>
      </c>
      <c r="I488" s="22" t="s">
        <v>4766</v>
      </c>
      <c r="J488" s="1" t="s">
        <v>4769</v>
      </c>
    </row>
    <row r="489" spans="1:10" x14ac:dyDescent="0.25">
      <c r="A489" s="1" t="s">
        <v>4770</v>
      </c>
      <c r="B489" s="1" t="s">
        <v>4774</v>
      </c>
      <c r="C489" s="2">
        <v>44824</v>
      </c>
      <c r="D489" s="6">
        <v>20443.41</v>
      </c>
      <c r="E489" s="6">
        <v>25720.29</v>
      </c>
      <c r="F489" s="1" t="s">
        <v>475</v>
      </c>
      <c r="G489" s="14" t="s">
        <v>3411</v>
      </c>
      <c r="H489" s="1" t="s">
        <v>1115</v>
      </c>
      <c r="I489" s="22" t="s">
        <v>3412</v>
      </c>
      <c r="J489" s="1" t="s">
        <v>4775</v>
      </c>
    </row>
    <row r="490" spans="1:10" x14ac:dyDescent="0.25">
      <c r="A490" s="1" t="s">
        <v>4771</v>
      </c>
      <c r="B490" s="1" t="s">
        <v>4776</v>
      </c>
      <c r="C490" s="2">
        <v>44825</v>
      </c>
      <c r="D490" s="6">
        <v>496.5</v>
      </c>
      <c r="E490" s="6">
        <v>595.79999999999995</v>
      </c>
      <c r="F490" s="1" t="s">
        <v>477</v>
      </c>
      <c r="G490" s="14" t="s">
        <v>4777</v>
      </c>
      <c r="H490" s="1" t="s">
        <v>1120</v>
      </c>
      <c r="I490" s="22" t="s">
        <v>4778</v>
      </c>
      <c r="J490" s="1" t="s">
        <v>4779</v>
      </c>
    </row>
    <row r="491" spans="1:10" x14ac:dyDescent="0.25">
      <c r="A491" s="1" t="s">
        <v>4772</v>
      </c>
      <c r="B491" s="1" t="s">
        <v>4780</v>
      </c>
      <c r="C491" s="2">
        <v>44825</v>
      </c>
      <c r="D491" s="6">
        <v>44</v>
      </c>
      <c r="E491" s="6">
        <v>52.8</v>
      </c>
      <c r="F491" s="1" t="s">
        <v>477</v>
      </c>
      <c r="G491" s="14" t="s">
        <v>4777</v>
      </c>
      <c r="H491" s="1" t="s">
        <v>1120</v>
      </c>
      <c r="I491" s="22" t="s">
        <v>4781</v>
      </c>
      <c r="J491" s="1" t="s">
        <v>4782</v>
      </c>
    </row>
    <row r="492" spans="1:10" x14ac:dyDescent="0.25">
      <c r="A492" s="1" t="s">
        <v>4773</v>
      </c>
      <c r="B492" s="1" t="s">
        <v>4783</v>
      </c>
      <c r="C492" s="2">
        <v>44825</v>
      </c>
      <c r="D492" s="6">
        <v>411.1</v>
      </c>
      <c r="E492" s="6">
        <v>493.32</v>
      </c>
      <c r="F492" s="1" t="s">
        <v>477</v>
      </c>
      <c r="G492" s="14" t="s">
        <v>4777</v>
      </c>
      <c r="H492" s="1" t="s">
        <v>1120</v>
      </c>
      <c r="I492" s="22" t="s">
        <v>4784</v>
      </c>
      <c r="J492" s="1" t="s">
        <v>4779</v>
      </c>
    </row>
    <row r="493" spans="1:10" x14ac:dyDescent="0.25">
      <c r="A493" s="1" t="s">
        <v>4785</v>
      </c>
      <c r="B493" s="1" t="s">
        <v>4791</v>
      </c>
      <c r="C493" s="2">
        <v>44827</v>
      </c>
      <c r="D493" s="6">
        <v>154.02000000000001</v>
      </c>
      <c r="E493" s="6">
        <v>184.82</v>
      </c>
      <c r="F493" s="1" t="s">
        <v>468</v>
      </c>
      <c r="G493" s="14" t="s">
        <v>3398</v>
      </c>
      <c r="H493" s="1" t="s">
        <v>1098</v>
      </c>
      <c r="I493" s="22" t="s">
        <v>1189</v>
      </c>
      <c r="J493" s="1" t="s">
        <v>3845</v>
      </c>
    </row>
    <row r="494" spans="1:10" x14ac:dyDescent="0.25">
      <c r="A494" s="1" t="s">
        <v>4786</v>
      </c>
      <c r="B494" s="1" t="s">
        <v>4792</v>
      </c>
      <c r="C494" s="2">
        <v>44827</v>
      </c>
      <c r="D494" s="6">
        <v>43</v>
      </c>
      <c r="E494" s="6">
        <v>51.6</v>
      </c>
      <c r="F494" s="1" t="s">
        <v>468</v>
      </c>
      <c r="G494" s="14" t="s">
        <v>3398</v>
      </c>
      <c r="H494" s="1" t="s">
        <v>1098</v>
      </c>
      <c r="I494" s="22" t="s">
        <v>1189</v>
      </c>
      <c r="J494" s="1" t="s">
        <v>4793</v>
      </c>
    </row>
    <row r="495" spans="1:10" x14ac:dyDescent="0.25">
      <c r="A495" s="1" t="s">
        <v>4787</v>
      </c>
      <c r="B495" s="1" t="s">
        <v>4794</v>
      </c>
      <c r="C495" s="2">
        <v>44827</v>
      </c>
      <c r="D495" s="6">
        <v>1784.98</v>
      </c>
      <c r="E495" s="6">
        <v>2141.98</v>
      </c>
      <c r="F495" s="1" t="s">
        <v>468</v>
      </c>
      <c r="G495" s="14" t="s">
        <v>3398</v>
      </c>
      <c r="H495" s="1" t="s">
        <v>1098</v>
      </c>
      <c r="I495" s="22" t="s">
        <v>1189</v>
      </c>
      <c r="J495" s="1" t="s">
        <v>4795</v>
      </c>
    </row>
    <row r="496" spans="1:10" x14ac:dyDescent="0.25">
      <c r="A496" s="1" t="s">
        <v>4788</v>
      </c>
      <c r="B496" s="1" t="s">
        <v>4796</v>
      </c>
      <c r="C496" s="2">
        <v>44830</v>
      </c>
      <c r="D496" s="6">
        <v>4750</v>
      </c>
      <c r="E496" s="6">
        <v>5700</v>
      </c>
      <c r="F496" s="1" t="s">
        <v>468</v>
      </c>
      <c r="G496" s="14" t="s">
        <v>3398</v>
      </c>
      <c r="H496" s="1" t="s">
        <v>1098</v>
      </c>
      <c r="I496" s="22" t="s">
        <v>1189</v>
      </c>
      <c r="J496" s="1" t="s">
        <v>4369</v>
      </c>
    </row>
    <row r="497" spans="1:10" x14ac:dyDescent="0.25">
      <c r="A497" s="1" t="s">
        <v>4789</v>
      </c>
      <c r="B497" s="1" t="s">
        <v>4797</v>
      </c>
      <c r="C497" s="2">
        <v>44830</v>
      </c>
      <c r="D497" s="6"/>
      <c r="E497" s="6">
        <v>49.5</v>
      </c>
      <c r="F497" s="1" t="s">
        <v>469</v>
      </c>
      <c r="G497" s="14" t="s">
        <v>3407</v>
      </c>
      <c r="H497" s="1"/>
      <c r="I497" s="22"/>
      <c r="J497" s="1" t="s">
        <v>4474</v>
      </c>
    </row>
    <row r="498" spans="1:10" x14ac:dyDescent="0.25">
      <c r="A498" s="1" t="s">
        <v>4790</v>
      </c>
      <c r="B498" s="1" t="s">
        <v>4798</v>
      </c>
      <c r="C498" s="2">
        <v>44830</v>
      </c>
      <c r="D498" s="6"/>
      <c r="E498" s="6">
        <v>16.5</v>
      </c>
      <c r="F498" s="1" t="s">
        <v>469</v>
      </c>
      <c r="G498" s="14" t="s">
        <v>3407</v>
      </c>
      <c r="H498" s="1"/>
      <c r="I498" s="22"/>
      <c r="J498" s="1" t="s">
        <v>4799</v>
      </c>
    </row>
    <row r="499" spans="1:10" x14ac:dyDescent="0.25">
      <c r="A499" s="1" t="s">
        <v>4800</v>
      </c>
      <c r="B499" s="1" t="s">
        <v>4814</v>
      </c>
      <c r="C499" s="2">
        <v>44830</v>
      </c>
      <c r="D499" s="6"/>
      <c r="E499" s="6">
        <v>214.5</v>
      </c>
      <c r="F499" s="1" t="s">
        <v>469</v>
      </c>
      <c r="G499" s="14" t="s">
        <v>3407</v>
      </c>
      <c r="H499" s="1"/>
      <c r="I499" s="22"/>
      <c r="J499" s="1" t="s">
        <v>4815</v>
      </c>
    </row>
    <row r="500" spans="1:10" x14ac:dyDescent="0.25">
      <c r="A500" s="1" t="s">
        <v>4801</v>
      </c>
      <c r="B500" s="1" t="s">
        <v>4811</v>
      </c>
      <c r="C500" s="2">
        <v>44833</v>
      </c>
      <c r="D500" s="6">
        <v>924</v>
      </c>
      <c r="E500" s="6">
        <v>1108.8</v>
      </c>
      <c r="F500" s="1" t="s">
        <v>2506</v>
      </c>
      <c r="G500" s="14" t="s">
        <v>4448</v>
      </c>
      <c r="H500" s="1" t="s">
        <v>2507</v>
      </c>
      <c r="I500" s="22" t="s">
        <v>4812</v>
      </c>
      <c r="J500" s="1" t="s">
        <v>4813</v>
      </c>
    </row>
    <row r="501" spans="1:10" x14ac:dyDescent="0.25">
      <c r="A501" s="1" t="s">
        <v>4802</v>
      </c>
      <c r="B501" s="1" t="s">
        <v>4816</v>
      </c>
      <c r="C501" s="2">
        <v>44833</v>
      </c>
      <c r="D501" s="6"/>
      <c r="E501" s="6">
        <v>1105</v>
      </c>
      <c r="F501" s="1" t="s">
        <v>486</v>
      </c>
      <c r="G501" s="14" t="s">
        <v>3528</v>
      </c>
      <c r="H501" s="1" t="s">
        <v>1133</v>
      </c>
      <c r="I501" s="22" t="s">
        <v>4817</v>
      </c>
      <c r="J501" s="1" t="s">
        <v>4818</v>
      </c>
    </row>
    <row r="502" spans="1:10" x14ac:dyDescent="0.25">
      <c r="A502" s="1" t="s">
        <v>4803</v>
      </c>
      <c r="B502" s="1" t="s">
        <v>4819</v>
      </c>
      <c r="C502" s="2">
        <v>44833</v>
      </c>
      <c r="D502" s="6">
        <v>-11.57</v>
      </c>
      <c r="E502" s="6">
        <v>-13.89</v>
      </c>
      <c r="F502" s="1" t="s">
        <v>468</v>
      </c>
      <c r="G502" s="14" t="s">
        <v>3398</v>
      </c>
      <c r="H502" s="1" t="s">
        <v>1098</v>
      </c>
      <c r="I502" s="22" t="s">
        <v>1189</v>
      </c>
      <c r="J502" s="1" t="s">
        <v>4820</v>
      </c>
    </row>
    <row r="503" spans="1:10" x14ac:dyDescent="0.25">
      <c r="A503" s="1" t="s">
        <v>4804</v>
      </c>
      <c r="B503" s="1" t="s">
        <v>4821</v>
      </c>
      <c r="C503" s="2">
        <v>44833</v>
      </c>
      <c r="D503" s="6">
        <v>92.8</v>
      </c>
      <c r="E503" s="6">
        <v>111.36</v>
      </c>
      <c r="F503" s="1" t="s">
        <v>4516</v>
      </c>
      <c r="G503" s="14" t="s">
        <v>4517</v>
      </c>
      <c r="H503" s="1" t="s">
        <v>4518</v>
      </c>
      <c r="I503" s="22" t="s">
        <v>4822</v>
      </c>
      <c r="J503" s="1" t="s">
        <v>4823</v>
      </c>
    </row>
    <row r="504" spans="1:10" x14ac:dyDescent="0.25">
      <c r="A504" s="1" t="s">
        <v>4805</v>
      </c>
      <c r="B504" s="1" t="s">
        <v>4824</v>
      </c>
      <c r="C504" s="2">
        <v>44833</v>
      </c>
      <c r="D504" s="6">
        <v>181.5</v>
      </c>
      <c r="E504" s="6">
        <v>217.8</v>
      </c>
      <c r="F504" s="1" t="s">
        <v>4516</v>
      </c>
      <c r="G504" s="14" t="s">
        <v>4517</v>
      </c>
      <c r="H504" s="1" t="s">
        <v>4518</v>
      </c>
      <c r="I504" s="22" t="s">
        <v>4825</v>
      </c>
      <c r="J504" s="1" t="s">
        <v>4826</v>
      </c>
    </row>
    <row r="505" spans="1:10" x14ac:dyDescent="0.25">
      <c r="A505" s="1" t="s">
        <v>4806</v>
      </c>
      <c r="B505" s="1" t="s">
        <v>4827</v>
      </c>
      <c r="C505" s="2">
        <v>44833</v>
      </c>
      <c r="D505" s="6">
        <v>65</v>
      </c>
      <c r="E505" s="6">
        <v>78</v>
      </c>
      <c r="F505" s="1" t="s">
        <v>4516</v>
      </c>
      <c r="G505" s="14" t="s">
        <v>4517</v>
      </c>
      <c r="H505" s="1" t="s">
        <v>4518</v>
      </c>
      <c r="I505" s="22" t="s">
        <v>4828</v>
      </c>
      <c r="J505" s="1" t="s">
        <v>4829</v>
      </c>
    </row>
    <row r="506" spans="1:10" x14ac:dyDescent="0.25">
      <c r="A506" s="1" t="s">
        <v>4807</v>
      </c>
      <c r="B506" s="1" t="s">
        <v>4830</v>
      </c>
      <c r="C506" s="2">
        <v>44833</v>
      </c>
      <c r="D506" s="6">
        <v>46</v>
      </c>
      <c r="E506" s="6">
        <v>55.2</v>
      </c>
      <c r="F506" s="1" t="s">
        <v>4516</v>
      </c>
      <c r="G506" s="14" t="s">
        <v>4517</v>
      </c>
      <c r="H506" s="1" t="s">
        <v>4518</v>
      </c>
      <c r="I506" s="22" t="s">
        <v>4831</v>
      </c>
      <c r="J506" s="1" t="s">
        <v>4832</v>
      </c>
    </row>
    <row r="507" spans="1:10" x14ac:dyDescent="0.25">
      <c r="A507" s="1" t="s">
        <v>4808</v>
      </c>
      <c r="B507" s="1" t="s">
        <v>4833</v>
      </c>
      <c r="C507" s="2">
        <v>44833</v>
      </c>
      <c r="D507" s="6">
        <v>51</v>
      </c>
      <c r="E507" s="6">
        <v>61.2</v>
      </c>
      <c r="F507" s="1" t="s">
        <v>4516</v>
      </c>
      <c r="G507" s="14" t="s">
        <v>4517</v>
      </c>
      <c r="H507" s="1" t="s">
        <v>4518</v>
      </c>
      <c r="I507" s="22" t="s">
        <v>4834</v>
      </c>
      <c r="J507" s="1" t="s">
        <v>4835</v>
      </c>
    </row>
    <row r="508" spans="1:10" x14ac:dyDescent="0.25">
      <c r="A508" s="1" t="s">
        <v>4809</v>
      </c>
      <c r="B508" s="1" t="s">
        <v>4836</v>
      </c>
      <c r="C508" s="2">
        <v>44834</v>
      </c>
      <c r="D508" s="6">
        <v>600</v>
      </c>
      <c r="E508" s="6">
        <v>720</v>
      </c>
      <c r="F508" s="1" t="s">
        <v>4837</v>
      </c>
      <c r="G508" s="14" t="s">
        <v>4838</v>
      </c>
      <c r="H508" s="1" t="s">
        <v>4839</v>
      </c>
      <c r="I508" s="22" t="s">
        <v>4840</v>
      </c>
      <c r="J508" s="1" t="s">
        <v>4841</v>
      </c>
    </row>
    <row r="509" spans="1:10" x14ac:dyDescent="0.25">
      <c r="A509" s="1" t="s">
        <v>4810</v>
      </c>
      <c r="B509" s="1" t="s">
        <v>4842</v>
      </c>
      <c r="C509" s="2">
        <v>44834</v>
      </c>
      <c r="D509" s="6">
        <v>222.46</v>
      </c>
      <c r="E509" s="6">
        <v>266.95</v>
      </c>
      <c r="F509" s="1" t="s">
        <v>468</v>
      </c>
      <c r="G509" s="1" t="s">
        <v>3398</v>
      </c>
      <c r="H509" s="1" t="s">
        <v>1098</v>
      </c>
      <c r="I509" s="22" t="s">
        <v>1189</v>
      </c>
      <c r="J509" s="1" t="s">
        <v>4843</v>
      </c>
    </row>
    <row r="510" spans="1:10" x14ac:dyDescent="0.25">
      <c r="A510" s="1" t="s">
        <v>4847</v>
      </c>
      <c r="B510" s="1" t="s">
        <v>4863</v>
      </c>
      <c r="C510" s="2">
        <v>44837</v>
      </c>
      <c r="D510" s="6"/>
      <c r="E510" s="6">
        <v>250</v>
      </c>
      <c r="F510" s="1" t="s">
        <v>498</v>
      </c>
      <c r="G510" s="1" t="s">
        <v>3476</v>
      </c>
      <c r="H510" s="1"/>
      <c r="I510" s="22" t="s">
        <v>4864</v>
      </c>
      <c r="J510" s="1" t="s">
        <v>4865</v>
      </c>
    </row>
    <row r="511" spans="1:10" x14ac:dyDescent="0.25">
      <c r="A511" s="1" t="s">
        <v>4848</v>
      </c>
      <c r="B511" s="1" t="s">
        <v>4866</v>
      </c>
      <c r="C511" s="2">
        <v>44837</v>
      </c>
      <c r="D511" s="6">
        <v>20054</v>
      </c>
      <c r="E511" s="6">
        <v>24064.799999999999</v>
      </c>
      <c r="F511" s="1" t="s">
        <v>468</v>
      </c>
      <c r="G511" s="1" t="s">
        <v>4525</v>
      </c>
      <c r="H511" s="1" t="s">
        <v>1098</v>
      </c>
      <c r="I511" s="22" t="s">
        <v>1189</v>
      </c>
      <c r="J511" s="1" t="s">
        <v>4867</v>
      </c>
    </row>
    <row r="512" spans="1:10" x14ac:dyDescent="0.25">
      <c r="A512" s="1" t="s">
        <v>4849</v>
      </c>
      <c r="B512" s="1" t="s">
        <v>4868</v>
      </c>
      <c r="C512" s="2">
        <v>44837</v>
      </c>
      <c r="D512" s="6">
        <v>121.72</v>
      </c>
      <c r="E512" s="6">
        <v>146.07</v>
      </c>
      <c r="F512" s="1" t="s">
        <v>468</v>
      </c>
      <c r="G512" s="1" t="s">
        <v>4525</v>
      </c>
      <c r="H512" s="1" t="s">
        <v>1098</v>
      </c>
      <c r="I512" s="22" t="s">
        <v>1189</v>
      </c>
      <c r="J512" s="1" t="s">
        <v>4761</v>
      </c>
    </row>
    <row r="513" spans="1:10" x14ac:dyDescent="0.25">
      <c r="A513" s="1" t="s">
        <v>4850</v>
      </c>
      <c r="B513" s="1" t="s">
        <v>4869</v>
      </c>
      <c r="C513" s="2">
        <v>44837</v>
      </c>
      <c r="D513" s="6">
        <v>1476</v>
      </c>
      <c r="E513" s="6">
        <v>1771.2</v>
      </c>
      <c r="F513" s="1" t="s">
        <v>4516</v>
      </c>
      <c r="G513" s="1" t="s">
        <v>4517</v>
      </c>
      <c r="H513" s="1" t="s">
        <v>4518</v>
      </c>
      <c r="I513" s="22" t="s">
        <v>4519</v>
      </c>
      <c r="J513" s="1" t="s">
        <v>4870</v>
      </c>
    </row>
    <row r="514" spans="1:10" x14ac:dyDescent="0.25">
      <c r="A514" s="1" t="s">
        <v>4851</v>
      </c>
      <c r="B514" s="1" t="s">
        <v>4871</v>
      </c>
      <c r="C514" s="2">
        <v>44837</v>
      </c>
      <c r="D514" s="6">
        <v>1476</v>
      </c>
      <c r="E514" s="6">
        <v>1771.2</v>
      </c>
      <c r="F514" s="1" t="s">
        <v>4516</v>
      </c>
      <c r="G514" s="1" t="s">
        <v>4517</v>
      </c>
      <c r="H514" s="1" t="s">
        <v>4518</v>
      </c>
      <c r="I514" s="22" t="s">
        <v>4522</v>
      </c>
      <c r="J514" s="1" t="s">
        <v>4872</v>
      </c>
    </row>
    <row r="515" spans="1:10" x14ac:dyDescent="0.25">
      <c r="A515" s="1" t="s">
        <v>4852</v>
      </c>
      <c r="B515" s="1" t="s">
        <v>4873</v>
      </c>
      <c r="C515" s="2">
        <v>44837</v>
      </c>
      <c r="D515" s="6">
        <v>2064.4699999999998</v>
      </c>
      <c r="E515" s="6">
        <v>2477.36</v>
      </c>
      <c r="F515" s="1" t="s">
        <v>470</v>
      </c>
      <c r="G515" s="14" t="s">
        <v>3399</v>
      </c>
      <c r="H515" s="1" t="s">
        <v>1101</v>
      </c>
      <c r="I515" s="22" t="s">
        <v>3400</v>
      </c>
      <c r="J515" s="1" t="s">
        <v>4874</v>
      </c>
    </row>
    <row r="516" spans="1:10" x14ac:dyDescent="0.25">
      <c r="A516" s="1" t="s">
        <v>4853</v>
      </c>
      <c r="B516" s="1" t="s">
        <v>4875</v>
      </c>
      <c r="C516" s="2">
        <v>44839</v>
      </c>
      <c r="D516" s="6"/>
      <c r="E516" s="6">
        <v>29701</v>
      </c>
      <c r="F516" s="1" t="s">
        <v>475</v>
      </c>
      <c r="G516" s="14" t="s">
        <v>3411</v>
      </c>
      <c r="H516" s="1" t="s">
        <v>1115</v>
      </c>
      <c r="I516" s="22" t="s">
        <v>3412</v>
      </c>
      <c r="J516" s="1" t="s">
        <v>3704</v>
      </c>
    </row>
    <row r="517" spans="1:10" x14ac:dyDescent="0.25">
      <c r="A517" s="1" t="s">
        <v>4854</v>
      </c>
      <c r="B517" s="1" t="s">
        <v>4876</v>
      </c>
      <c r="C517" s="2">
        <v>44839</v>
      </c>
      <c r="D517" s="6">
        <v>218</v>
      </c>
      <c r="E517" s="6">
        <v>261.60000000000002</v>
      </c>
      <c r="F517" s="1" t="s">
        <v>2506</v>
      </c>
      <c r="G517" s="1" t="s">
        <v>4448</v>
      </c>
      <c r="H517" s="1" t="s">
        <v>2507</v>
      </c>
      <c r="I517" s="22" t="s">
        <v>4877</v>
      </c>
      <c r="J517" s="1" t="s">
        <v>4878</v>
      </c>
    </row>
    <row r="518" spans="1:10" x14ac:dyDescent="0.25">
      <c r="A518" s="1" t="s">
        <v>4855</v>
      </c>
      <c r="B518" s="1" t="s">
        <v>4879</v>
      </c>
      <c r="C518" s="2">
        <v>44839</v>
      </c>
      <c r="D518" s="6">
        <v>165.96</v>
      </c>
      <c r="E518" s="6">
        <v>199.15</v>
      </c>
      <c r="F518" s="1" t="s">
        <v>466</v>
      </c>
      <c r="G518" s="1" t="s">
        <v>3406</v>
      </c>
      <c r="H518" s="1" t="s">
        <v>1105</v>
      </c>
      <c r="I518" s="22" t="s">
        <v>4501</v>
      </c>
      <c r="J518" s="1" t="s">
        <v>4880</v>
      </c>
    </row>
    <row r="519" spans="1:10" x14ac:dyDescent="0.25">
      <c r="A519" s="1" t="s">
        <v>4856</v>
      </c>
      <c r="B519" s="1" t="s">
        <v>4881</v>
      </c>
      <c r="C519" s="2">
        <v>44839</v>
      </c>
      <c r="D519" s="6">
        <v>656</v>
      </c>
      <c r="E519" s="6">
        <v>787.2</v>
      </c>
      <c r="F519" s="1" t="s">
        <v>2506</v>
      </c>
      <c r="G519" s="1" t="s">
        <v>4448</v>
      </c>
      <c r="H519" s="1" t="s">
        <v>2507</v>
      </c>
      <c r="I519" s="22" t="s">
        <v>4882</v>
      </c>
      <c r="J519" s="1" t="s">
        <v>4883</v>
      </c>
    </row>
    <row r="520" spans="1:10" x14ac:dyDescent="0.25">
      <c r="A520" s="1" t="s">
        <v>4857</v>
      </c>
      <c r="B520" s="1" t="s">
        <v>4884</v>
      </c>
      <c r="C520" s="2">
        <v>44839</v>
      </c>
      <c r="D520" s="6"/>
      <c r="E520" s="6">
        <v>158</v>
      </c>
      <c r="F520" s="1" t="s">
        <v>486</v>
      </c>
      <c r="G520" s="1" t="s">
        <v>3528</v>
      </c>
      <c r="H520" s="1" t="s">
        <v>1133</v>
      </c>
      <c r="I520" s="22" t="s">
        <v>4885</v>
      </c>
      <c r="J520" s="1" t="s">
        <v>4886</v>
      </c>
    </row>
    <row r="521" spans="1:10" x14ac:dyDescent="0.25">
      <c r="A521" s="1" t="s">
        <v>4858</v>
      </c>
      <c r="B521" s="1" t="s">
        <v>4887</v>
      </c>
      <c r="C521" s="2">
        <v>44839</v>
      </c>
      <c r="D521" s="6">
        <v>1624</v>
      </c>
      <c r="E521" s="6">
        <v>1948.8</v>
      </c>
      <c r="F521" s="1" t="s">
        <v>2597</v>
      </c>
      <c r="G521" s="1" t="s">
        <v>3401</v>
      </c>
      <c r="H521" s="1" t="s">
        <v>2598</v>
      </c>
      <c r="I521" s="1" t="s">
        <v>3402</v>
      </c>
      <c r="J521" s="1" t="s">
        <v>4888</v>
      </c>
    </row>
    <row r="522" spans="1:10" x14ac:dyDescent="0.25">
      <c r="A522" s="1" t="s">
        <v>4859</v>
      </c>
      <c r="B522" s="1" t="s">
        <v>4889</v>
      </c>
      <c r="C522" s="2">
        <v>44839</v>
      </c>
      <c r="D522" s="6">
        <v>620.83000000000004</v>
      </c>
      <c r="E522" s="6">
        <v>745</v>
      </c>
      <c r="F522" s="1" t="s">
        <v>468</v>
      </c>
      <c r="G522" s="1" t="s">
        <v>3398</v>
      </c>
      <c r="H522" s="1" t="s">
        <v>1098</v>
      </c>
      <c r="I522" s="22" t="s">
        <v>1189</v>
      </c>
      <c r="J522" s="1" t="s">
        <v>4890</v>
      </c>
    </row>
    <row r="523" spans="1:10" x14ac:dyDescent="0.25">
      <c r="A523" s="1" t="s">
        <v>4860</v>
      </c>
      <c r="B523" s="1" t="s">
        <v>4891</v>
      </c>
      <c r="C523" s="2">
        <v>44839</v>
      </c>
      <c r="D523" s="6">
        <v>2924.17</v>
      </c>
      <c r="E523" s="6">
        <v>3509</v>
      </c>
      <c r="F523" s="1" t="s">
        <v>468</v>
      </c>
      <c r="G523" s="1" t="s">
        <v>3398</v>
      </c>
      <c r="H523" s="1" t="s">
        <v>1098</v>
      </c>
      <c r="I523" s="22" t="s">
        <v>1189</v>
      </c>
      <c r="J523" s="1" t="s">
        <v>4892</v>
      </c>
    </row>
    <row r="524" spans="1:10" x14ac:dyDescent="0.25">
      <c r="A524" s="1" t="s">
        <v>4861</v>
      </c>
      <c r="B524" s="1" t="s">
        <v>4893</v>
      </c>
      <c r="C524" s="2">
        <v>44839</v>
      </c>
      <c r="D524" s="6">
        <v>52.5</v>
      </c>
      <c r="E524" s="6">
        <v>63</v>
      </c>
      <c r="F524" s="1" t="s">
        <v>472</v>
      </c>
      <c r="G524" s="14" t="s">
        <v>3415</v>
      </c>
      <c r="H524" s="1" t="s">
        <v>1151</v>
      </c>
      <c r="I524" s="22" t="s">
        <v>4894</v>
      </c>
      <c r="J524" s="1" t="s">
        <v>4895</v>
      </c>
    </row>
    <row r="525" spans="1:10" x14ac:dyDescent="0.25">
      <c r="A525" s="1" t="s">
        <v>4862</v>
      </c>
      <c r="B525" s="1" t="s">
        <v>4896</v>
      </c>
      <c r="C525" s="2">
        <v>44839</v>
      </c>
      <c r="D525" s="6">
        <v>24870.83</v>
      </c>
      <c r="E525" s="6">
        <v>29845</v>
      </c>
      <c r="F525" s="1" t="s">
        <v>4897</v>
      </c>
      <c r="G525" s="14" t="s">
        <v>4898</v>
      </c>
      <c r="H525" s="1" t="s">
        <v>4899</v>
      </c>
      <c r="I525" s="22" t="s">
        <v>4900</v>
      </c>
      <c r="J525" s="1" t="s">
        <v>4901</v>
      </c>
    </row>
    <row r="526" spans="1:10" x14ac:dyDescent="0.25">
      <c r="A526" s="1" t="s">
        <v>4902</v>
      </c>
      <c r="B526" s="1" t="s">
        <v>4911</v>
      </c>
      <c r="C526" s="2">
        <v>44847</v>
      </c>
      <c r="D526" s="6"/>
      <c r="E526" s="6">
        <v>470</v>
      </c>
      <c r="F526" s="1" t="s">
        <v>486</v>
      </c>
      <c r="G526" s="1" t="s">
        <v>3528</v>
      </c>
      <c r="H526" s="1" t="s">
        <v>1133</v>
      </c>
      <c r="I526" s="22" t="s">
        <v>4912</v>
      </c>
      <c r="J526" s="1" t="s">
        <v>4913</v>
      </c>
    </row>
    <row r="527" spans="1:10" x14ac:dyDescent="0.25">
      <c r="A527" s="1" t="s">
        <v>4903</v>
      </c>
      <c r="B527" s="1" t="s">
        <v>4914</v>
      </c>
      <c r="C527" s="2">
        <v>44847</v>
      </c>
      <c r="D527" s="6"/>
      <c r="E527" s="6">
        <v>2450</v>
      </c>
      <c r="F527" s="1" t="s">
        <v>4915</v>
      </c>
      <c r="G527" s="1" t="s">
        <v>3563</v>
      </c>
      <c r="H527" s="1" t="s">
        <v>1128</v>
      </c>
      <c r="I527" s="22" t="s">
        <v>3628</v>
      </c>
      <c r="J527" s="1" t="s">
        <v>4916</v>
      </c>
    </row>
    <row r="528" spans="1:10" x14ac:dyDescent="0.25">
      <c r="A528" s="1" t="s">
        <v>4904</v>
      </c>
      <c r="B528" s="1" t="s">
        <v>4917</v>
      </c>
      <c r="C528" s="2">
        <v>44847</v>
      </c>
      <c r="D528" s="6"/>
      <c r="E528" s="6">
        <v>160</v>
      </c>
      <c r="F528" s="1" t="s">
        <v>486</v>
      </c>
      <c r="G528" s="1" t="s">
        <v>3528</v>
      </c>
      <c r="H528" s="1" t="s">
        <v>1133</v>
      </c>
      <c r="I528" s="22" t="s">
        <v>4918</v>
      </c>
      <c r="J528" s="1" t="s">
        <v>4919</v>
      </c>
    </row>
    <row r="529" spans="1:10" x14ac:dyDescent="0.25">
      <c r="A529" s="1" t="s">
        <v>4905</v>
      </c>
      <c r="B529" s="1" t="s">
        <v>4920</v>
      </c>
      <c r="C529" s="2">
        <v>44847</v>
      </c>
      <c r="D529" s="6"/>
      <c r="E529" s="6">
        <v>1799</v>
      </c>
      <c r="F529" s="1" t="s">
        <v>486</v>
      </c>
      <c r="G529" s="1" t="s">
        <v>3528</v>
      </c>
      <c r="H529" s="1" t="s">
        <v>1133</v>
      </c>
      <c r="I529" s="22" t="s">
        <v>4921</v>
      </c>
      <c r="J529" s="1" t="s">
        <v>4922</v>
      </c>
    </row>
    <row r="530" spans="1:10" x14ac:dyDescent="0.25">
      <c r="A530" s="1" t="s">
        <v>4906</v>
      </c>
      <c r="B530" s="1" t="s">
        <v>4923</v>
      </c>
      <c r="C530" s="2">
        <v>44847</v>
      </c>
      <c r="D530" s="6"/>
      <c r="E530" s="6">
        <v>262</v>
      </c>
      <c r="F530" s="1" t="s">
        <v>486</v>
      </c>
      <c r="G530" s="1" t="s">
        <v>3528</v>
      </c>
      <c r="H530" s="1" t="s">
        <v>1133</v>
      </c>
      <c r="I530" s="22" t="s">
        <v>4924</v>
      </c>
      <c r="J530" s="1" t="s">
        <v>4925</v>
      </c>
    </row>
    <row r="531" spans="1:10" x14ac:dyDescent="0.25">
      <c r="A531" s="1" t="s">
        <v>4907</v>
      </c>
      <c r="B531" s="1" t="s">
        <v>4926</v>
      </c>
      <c r="C531" s="2">
        <v>44847</v>
      </c>
      <c r="D531" s="6">
        <v>45.85</v>
      </c>
      <c r="E531" s="6">
        <v>55.02</v>
      </c>
      <c r="F531" s="1" t="s">
        <v>4531</v>
      </c>
      <c r="G531" s="1" t="s">
        <v>4927</v>
      </c>
      <c r="H531" s="22" t="s">
        <v>1107</v>
      </c>
      <c r="I531" s="22" t="s">
        <v>3410</v>
      </c>
      <c r="J531" s="1" t="s">
        <v>2414</v>
      </c>
    </row>
    <row r="532" spans="1:10" x14ac:dyDescent="0.25">
      <c r="A532" s="1" t="s">
        <v>4908</v>
      </c>
      <c r="B532" s="1" t="s">
        <v>4928</v>
      </c>
      <c r="C532" s="2">
        <v>44847</v>
      </c>
      <c r="D532" s="6"/>
      <c r="E532" s="6">
        <v>237</v>
      </c>
      <c r="F532" s="1" t="s">
        <v>4349</v>
      </c>
      <c r="G532" s="14" t="s">
        <v>4350</v>
      </c>
      <c r="H532" s="1"/>
      <c r="I532" s="22"/>
      <c r="J532" s="1" t="s">
        <v>4929</v>
      </c>
    </row>
    <row r="533" spans="1:10" x14ac:dyDescent="0.25">
      <c r="A533" s="1" t="s">
        <v>4909</v>
      </c>
      <c r="B533" s="1" t="s">
        <v>4930</v>
      </c>
      <c r="C533" s="2">
        <v>44847</v>
      </c>
      <c r="D533" s="6">
        <v>846</v>
      </c>
      <c r="E533" s="6">
        <v>1015.2</v>
      </c>
      <c r="F533" s="1" t="s">
        <v>468</v>
      </c>
      <c r="G533" s="1" t="s">
        <v>3398</v>
      </c>
      <c r="H533" s="1" t="s">
        <v>1098</v>
      </c>
      <c r="I533" s="22" t="s">
        <v>1189</v>
      </c>
      <c r="J533" s="1" t="s">
        <v>4931</v>
      </c>
    </row>
    <row r="534" spans="1:10" x14ac:dyDescent="0.25">
      <c r="A534" s="1" t="s">
        <v>4910</v>
      </c>
      <c r="B534" s="1" t="s">
        <v>4932</v>
      </c>
      <c r="C534" s="2">
        <v>44847</v>
      </c>
      <c r="D534" s="6">
        <v>2091.3000000000002</v>
      </c>
      <c r="E534" s="6">
        <v>2509.56</v>
      </c>
      <c r="F534" s="1" t="s">
        <v>468</v>
      </c>
      <c r="G534" s="1" t="s">
        <v>3398</v>
      </c>
      <c r="H534" s="1" t="s">
        <v>1098</v>
      </c>
      <c r="I534" s="22" t="s">
        <v>1189</v>
      </c>
      <c r="J534" s="1" t="s">
        <v>4933</v>
      </c>
    </row>
    <row r="535" spans="1:10" x14ac:dyDescent="0.25">
      <c r="A535" s="1" t="s">
        <v>4934</v>
      </c>
      <c r="B535" s="1" t="s">
        <v>4947</v>
      </c>
      <c r="C535" s="2">
        <v>44847</v>
      </c>
      <c r="D535" s="6">
        <v>27.2</v>
      </c>
      <c r="E535" s="6">
        <v>27.2</v>
      </c>
      <c r="F535" s="1" t="s">
        <v>468</v>
      </c>
      <c r="G535" s="1" t="s">
        <v>3398</v>
      </c>
      <c r="H535" s="1" t="s">
        <v>1098</v>
      </c>
      <c r="I535" s="22" t="s">
        <v>1189</v>
      </c>
      <c r="J535" s="1" t="s">
        <v>4948</v>
      </c>
    </row>
    <row r="536" spans="1:10" x14ac:dyDescent="0.25">
      <c r="A536" s="1" t="s">
        <v>4935</v>
      </c>
      <c r="B536" s="1" t="s">
        <v>4949</v>
      </c>
      <c r="C536" s="2">
        <v>44847</v>
      </c>
      <c r="D536" s="6">
        <v>65.069999999999993</v>
      </c>
      <c r="E536" s="6">
        <v>78.09</v>
      </c>
      <c r="F536" s="1" t="s">
        <v>468</v>
      </c>
      <c r="G536" s="1" t="s">
        <v>3398</v>
      </c>
      <c r="H536" s="1" t="s">
        <v>1098</v>
      </c>
      <c r="I536" s="22" t="s">
        <v>1189</v>
      </c>
      <c r="J536" s="1" t="s">
        <v>4761</v>
      </c>
    </row>
    <row r="537" spans="1:10" x14ac:dyDescent="0.25">
      <c r="A537" s="1" t="s">
        <v>4936</v>
      </c>
      <c r="B537" s="1" t="s">
        <v>4950</v>
      </c>
      <c r="C537" s="2">
        <v>44847</v>
      </c>
      <c r="D537" s="6"/>
      <c r="E537" s="6">
        <v>250</v>
      </c>
      <c r="F537" s="1" t="s">
        <v>4951</v>
      </c>
      <c r="G537" s="14" t="s">
        <v>4952</v>
      </c>
      <c r="H537" s="1" t="s">
        <v>4953</v>
      </c>
      <c r="I537" s="22" t="s">
        <v>4954</v>
      </c>
      <c r="J537" s="1" t="s">
        <v>4955</v>
      </c>
    </row>
    <row r="538" spans="1:10" x14ac:dyDescent="0.25">
      <c r="A538" s="1" t="s">
        <v>4937</v>
      </c>
      <c r="B538" s="1" t="s">
        <v>4956</v>
      </c>
      <c r="C538" s="2">
        <v>44847</v>
      </c>
      <c r="D538" s="6"/>
      <c r="E538" s="6">
        <v>80</v>
      </c>
      <c r="F538" s="1" t="s">
        <v>502</v>
      </c>
      <c r="G538" s="14" t="s">
        <v>3519</v>
      </c>
      <c r="H538" s="1" t="s">
        <v>1489</v>
      </c>
      <c r="I538" s="22" t="s">
        <v>4957</v>
      </c>
      <c r="J538" s="1" t="s">
        <v>4958</v>
      </c>
    </row>
    <row r="539" spans="1:10" x14ac:dyDescent="0.25">
      <c r="A539" s="1" t="s">
        <v>4938</v>
      </c>
      <c r="B539" s="1" t="s">
        <v>4959</v>
      </c>
      <c r="C539" s="2">
        <v>44847</v>
      </c>
      <c r="D539" s="6">
        <v>114.6</v>
      </c>
      <c r="E539" s="6">
        <v>134.82</v>
      </c>
      <c r="F539" s="1" t="s">
        <v>4960</v>
      </c>
      <c r="G539" s="14" t="s">
        <v>4961</v>
      </c>
      <c r="H539" s="1" t="s">
        <v>4962</v>
      </c>
      <c r="I539" s="22" t="s">
        <v>4963</v>
      </c>
      <c r="J539" s="1" t="s">
        <v>4964</v>
      </c>
    </row>
    <row r="540" spans="1:10" x14ac:dyDescent="0.25">
      <c r="A540" s="1" t="s">
        <v>4939</v>
      </c>
      <c r="B540" s="1" t="s">
        <v>4965</v>
      </c>
      <c r="C540" s="2">
        <v>44847</v>
      </c>
      <c r="D540" s="6">
        <v>85.35</v>
      </c>
      <c r="E540" s="6">
        <v>102.42</v>
      </c>
      <c r="F540" s="1" t="s">
        <v>468</v>
      </c>
      <c r="G540" s="1" t="s">
        <v>3398</v>
      </c>
      <c r="H540" s="1" t="s">
        <v>1098</v>
      </c>
      <c r="I540" s="22" t="s">
        <v>1189</v>
      </c>
      <c r="J540" s="1" t="s">
        <v>2567</v>
      </c>
    </row>
    <row r="541" spans="1:10" x14ac:dyDescent="0.25">
      <c r="A541" s="1" t="s">
        <v>4940</v>
      </c>
      <c r="B541" s="1" t="s">
        <v>4966</v>
      </c>
      <c r="C541" s="2">
        <v>44847</v>
      </c>
      <c r="D541" s="6">
        <v>237.05</v>
      </c>
      <c r="E541" s="6">
        <v>284.45999999999998</v>
      </c>
      <c r="F541" s="1" t="s">
        <v>468</v>
      </c>
      <c r="G541" s="1" t="s">
        <v>3398</v>
      </c>
      <c r="H541" s="1" t="s">
        <v>1098</v>
      </c>
      <c r="I541" s="22" t="s">
        <v>1189</v>
      </c>
      <c r="J541" s="1" t="s">
        <v>3619</v>
      </c>
    </row>
    <row r="542" spans="1:10" x14ac:dyDescent="0.25">
      <c r="A542" s="1" t="s">
        <v>4941</v>
      </c>
      <c r="B542" s="1" t="s">
        <v>4967</v>
      </c>
      <c r="C542" s="2">
        <v>44847</v>
      </c>
      <c r="D542" s="6">
        <v>110</v>
      </c>
      <c r="E542" s="6">
        <v>132</v>
      </c>
      <c r="F542" s="1" t="s">
        <v>4968</v>
      </c>
      <c r="G542" s="14" t="s">
        <v>4969</v>
      </c>
      <c r="H542" s="1" t="s">
        <v>4970</v>
      </c>
      <c r="I542" s="22" t="s">
        <v>4971</v>
      </c>
      <c r="J542" s="1" t="s">
        <v>4972</v>
      </c>
    </row>
    <row r="543" spans="1:10" x14ac:dyDescent="0.25">
      <c r="A543" s="1" t="s">
        <v>4942</v>
      </c>
      <c r="B543" s="1" t="s">
        <v>4973</v>
      </c>
      <c r="C543" s="2">
        <v>44848</v>
      </c>
      <c r="D543" s="6">
        <v>52.32</v>
      </c>
      <c r="E543" s="6">
        <v>62.82</v>
      </c>
      <c r="F543" s="1" t="s">
        <v>467</v>
      </c>
      <c r="G543" s="14" t="s">
        <v>3397</v>
      </c>
      <c r="H543" s="1" t="s">
        <v>1099</v>
      </c>
      <c r="I543" s="22" t="s">
        <v>1117</v>
      </c>
      <c r="J543" s="1" t="s">
        <v>4974</v>
      </c>
    </row>
    <row r="544" spans="1:10" x14ac:dyDescent="0.25">
      <c r="A544" s="1" t="s">
        <v>4943</v>
      </c>
      <c r="B544" s="1" t="s">
        <v>4975</v>
      </c>
      <c r="C544" s="2">
        <v>44848</v>
      </c>
      <c r="D544" s="6"/>
      <c r="E544" s="6">
        <v>936</v>
      </c>
      <c r="F544" s="1" t="s">
        <v>473</v>
      </c>
      <c r="G544" s="14" t="s">
        <v>3403</v>
      </c>
      <c r="H544" s="1" t="s">
        <v>1109</v>
      </c>
      <c r="I544" s="22" t="s">
        <v>3404</v>
      </c>
      <c r="J544" s="1" t="s">
        <v>4976</v>
      </c>
    </row>
    <row r="545" spans="1:10" x14ac:dyDescent="0.25">
      <c r="A545" s="1" t="s">
        <v>4944</v>
      </c>
      <c r="B545" s="1" t="s">
        <v>4977</v>
      </c>
      <c r="C545" s="2">
        <v>44851</v>
      </c>
      <c r="D545" s="6">
        <v>117</v>
      </c>
      <c r="E545" s="6">
        <v>140.4</v>
      </c>
      <c r="F545" s="1" t="s">
        <v>470</v>
      </c>
      <c r="G545" s="14" t="s">
        <v>3399</v>
      </c>
      <c r="H545" s="1" t="s">
        <v>1101</v>
      </c>
      <c r="I545" s="22" t="s">
        <v>3400</v>
      </c>
      <c r="J545" s="1" t="s">
        <v>4654</v>
      </c>
    </row>
    <row r="546" spans="1:10" x14ac:dyDescent="0.25">
      <c r="A546" s="1" t="s">
        <v>4945</v>
      </c>
      <c r="B546" s="1" t="s">
        <v>4978</v>
      </c>
      <c r="C546" s="2">
        <v>44851</v>
      </c>
      <c r="D546" s="6">
        <v>39</v>
      </c>
      <c r="E546" s="6">
        <v>46.8</v>
      </c>
      <c r="F546" s="1" t="s">
        <v>470</v>
      </c>
      <c r="G546" s="14" t="s">
        <v>3399</v>
      </c>
      <c r="H546" s="1" t="s">
        <v>1101</v>
      </c>
      <c r="I546" s="22" t="s">
        <v>3400</v>
      </c>
      <c r="J546" s="1" t="s">
        <v>4979</v>
      </c>
    </row>
    <row r="547" spans="1:10" x14ac:dyDescent="0.25">
      <c r="A547" s="1" t="s">
        <v>4946</v>
      </c>
      <c r="B547" s="1" t="s">
        <v>4980</v>
      </c>
      <c r="C547" s="2">
        <v>44851</v>
      </c>
      <c r="D547" s="6">
        <v>474.22</v>
      </c>
      <c r="E547" s="6">
        <v>569.05999999999995</v>
      </c>
      <c r="F547" s="1" t="s">
        <v>4981</v>
      </c>
      <c r="G547" s="14" t="s">
        <v>4982</v>
      </c>
      <c r="H547" s="1" t="s">
        <v>4983</v>
      </c>
      <c r="I547" s="22" t="s">
        <v>4984</v>
      </c>
      <c r="J547" s="1" t="s">
        <v>4985</v>
      </c>
    </row>
    <row r="548" spans="1:10" x14ac:dyDescent="0.25">
      <c r="A548" s="1" t="s">
        <v>4986</v>
      </c>
      <c r="B548" s="1" t="s">
        <v>5003</v>
      </c>
      <c r="C548" s="2">
        <v>44852</v>
      </c>
      <c r="D548" s="6">
        <v>25330.959999999999</v>
      </c>
      <c r="E548" s="6">
        <v>31882.15</v>
      </c>
      <c r="F548" s="1" t="s">
        <v>475</v>
      </c>
      <c r="G548" s="14" t="s">
        <v>3411</v>
      </c>
      <c r="H548" s="1" t="s">
        <v>1115</v>
      </c>
      <c r="I548" s="22" t="s">
        <v>3412</v>
      </c>
      <c r="J548" s="1" t="s">
        <v>5004</v>
      </c>
    </row>
    <row r="549" spans="1:10" x14ac:dyDescent="0.25">
      <c r="A549" s="1" t="s">
        <v>4987</v>
      </c>
      <c r="B549" s="1" t="s">
        <v>5000</v>
      </c>
      <c r="C549" s="2">
        <v>44852</v>
      </c>
      <c r="D549" s="6"/>
      <c r="E549" s="6">
        <v>433</v>
      </c>
      <c r="F549" s="1" t="s">
        <v>486</v>
      </c>
      <c r="G549" s="14" t="s">
        <v>3528</v>
      </c>
      <c r="H549" s="1" t="s">
        <v>1133</v>
      </c>
      <c r="I549" s="22" t="s">
        <v>5001</v>
      </c>
      <c r="J549" s="1" t="s">
        <v>5002</v>
      </c>
    </row>
    <row r="550" spans="1:10" x14ac:dyDescent="0.25">
      <c r="A550" s="1" t="s">
        <v>4988</v>
      </c>
      <c r="B550" s="1" t="s">
        <v>4997</v>
      </c>
      <c r="C550" s="2">
        <v>44852</v>
      </c>
      <c r="D550" s="6"/>
      <c r="E550" s="6">
        <v>159.69999999999999</v>
      </c>
      <c r="F550" s="1" t="s">
        <v>486</v>
      </c>
      <c r="G550" s="14" t="s">
        <v>3528</v>
      </c>
      <c r="H550" s="1" t="s">
        <v>1133</v>
      </c>
      <c r="I550" s="22" t="s">
        <v>4998</v>
      </c>
      <c r="J550" s="1" t="s">
        <v>4999</v>
      </c>
    </row>
    <row r="551" spans="1:10" x14ac:dyDescent="0.25">
      <c r="A551" s="1" t="s">
        <v>4989</v>
      </c>
      <c r="B551" s="1" t="s">
        <v>4994</v>
      </c>
      <c r="C551" s="2">
        <v>44852</v>
      </c>
      <c r="D551" s="6">
        <v>656</v>
      </c>
      <c r="E551" s="6">
        <v>787.2</v>
      </c>
      <c r="F551" s="1" t="s">
        <v>2506</v>
      </c>
      <c r="G551" s="14" t="s">
        <v>4448</v>
      </c>
      <c r="H551" s="1" t="s">
        <v>2507</v>
      </c>
      <c r="I551" s="22" t="s">
        <v>4995</v>
      </c>
      <c r="J551" s="1" t="s">
        <v>4996</v>
      </c>
    </row>
    <row r="552" spans="1:10" x14ac:dyDescent="0.25">
      <c r="A552" s="1" t="s">
        <v>4990</v>
      </c>
      <c r="B552" s="1" t="s">
        <v>4991</v>
      </c>
      <c r="C552" s="2">
        <v>44852</v>
      </c>
      <c r="D552" s="6">
        <v>908.9</v>
      </c>
      <c r="E552" s="6">
        <v>1090.68</v>
      </c>
      <c r="F552" s="1" t="s">
        <v>3472</v>
      </c>
      <c r="G552" s="1" t="s">
        <v>3473</v>
      </c>
      <c r="H552" s="1" t="s">
        <v>1155</v>
      </c>
      <c r="I552" s="22" t="s">
        <v>4992</v>
      </c>
      <c r="J552" s="1" t="s">
        <v>4993</v>
      </c>
    </row>
    <row r="553" spans="1:10" x14ac:dyDescent="0.25">
      <c r="A553" s="1" t="s">
        <v>5005</v>
      </c>
      <c r="B553" s="1" t="s">
        <v>5015</v>
      </c>
      <c r="C553" s="2">
        <v>44853</v>
      </c>
      <c r="D553" s="6"/>
      <c r="E553" s="6">
        <v>16.5</v>
      </c>
      <c r="F553" s="1" t="s">
        <v>4349</v>
      </c>
      <c r="G553" s="14" t="s">
        <v>4350</v>
      </c>
      <c r="H553" s="1"/>
      <c r="I553" s="22"/>
      <c r="J553" s="1" t="s">
        <v>5016</v>
      </c>
    </row>
    <row r="554" spans="1:10" x14ac:dyDescent="0.25">
      <c r="A554" s="1" t="s">
        <v>5006</v>
      </c>
      <c r="B554" s="1" t="s">
        <v>5017</v>
      </c>
      <c r="C554" s="2">
        <v>44853</v>
      </c>
      <c r="D554" s="6">
        <v>2690.37</v>
      </c>
      <c r="E554" s="6">
        <v>3228.45</v>
      </c>
      <c r="F554" s="1" t="s">
        <v>468</v>
      </c>
      <c r="G554" s="1" t="s">
        <v>3398</v>
      </c>
      <c r="H554" s="1" t="s">
        <v>1098</v>
      </c>
      <c r="I554" s="22" t="s">
        <v>1189</v>
      </c>
      <c r="J554" s="1" t="s">
        <v>5018</v>
      </c>
    </row>
    <row r="555" spans="1:10" x14ac:dyDescent="0.25">
      <c r="A555" s="1" t="s">
        <v>5007</v>
      </c>
      <c r="B555" s="1" t="s">
        <v>5019</v>
      </c>
      <c r="C555" s="2">
        <v>44853</v>
      </c>
      <c r="D555" s="6">
        <v>162.6</v>
      </c>
      <c r="E555" s="6">
        <v>195.12</v>
      </c>
      <c r="F555" s="1" t="s">
        <v>468</v>
      </c>
      <c r="G555" s="1" t="s">
        <v>3398</v>
      </c>
      <c r="H555" s="1" t="s">
        <v>1098</v>
      </c>
      <c r="I555" s="22" t="s">
        <v>1189</v>
      </c>
      <c r="J555" s="1" t="s">
        <v>5020</v>
      </c>
    </row>
    <row r="556" spans="1:10" x14ac:dyDescent="0.25">
      <c r="A556" s="1" t="s">
        <v>5008</v>
      </c>
      <c r="B556" s="1" t="s">
        <v>5021</v>
      </c>
      <c r="C556" s="2">
        <v>44853</v>
      </c>
      <c r="D556" s="6">
        <v>707.1</v>
      </c>
      <c r="E556" s="6">
        <v>848.52</v>
      </c>
      <c r="F556" s="1" t="s">
        <v>468</v>
      </c>
      <c r="G556" s="1" t="s">
        <v>3398</v>
      </c>
      <c r="H556" s="1" t="s">
        <v>1098</v>
      </c>
      <c r="I556" s="22" t="s">
        <v>1189</v>
      </c>
      <c r="J556" s="1" t="s">
        <v>5022</v>
      </c>
    </row>
    <row r="557" spans="1:10" x14ac:dyDescent="0.25">
      <c r="A557" s="1" t="s">
        <v>5009</v>
      </c>
      <c r="B557" s="1" t="s">
        <v>5023</v>
      </c>
      <c r="C557" s="2">
        <v>44853</v>
      </c>
      <c r="D557" s="6">
        <v>2359.37</v>
      </c>
      <c r="E557" s="6">
        <v>2831.24</v>
      </c>
      <c r="F557" s="1" t="s">
        <v>468</v>
      </c>
      <c r="G557" s="1" t="s">
        <v>3398</v>
      </c>
      <c r="H557" s="1" t="s">
        <v>1098</v>
      </c>
      <c r="I557" s="22" t="s">
        <v>1189</v>
      </c>
      <c r="J557" s="1" t="s">
        <v>5024</v>
      </c>
    </row>
    <row r="558" spans="1:10" x14ac:dyDescent="0.25">
      <c r="A558" s="1" t="s">
        <v>5010</v>
      </c>
      <c r="B558" s="1" t="s">
        <v>5025</v>
      </c>
      <c r="C558" s="2">
        <v>44853</v>
      </c>
      <c r="D558" s="6">
        <v>166.48</v>
      </c>
      <c r="E558" s="6">
        <v>199.78</v>
      </c>
      <c r="F558" s="1" t="s">
        <v>468</v>
      </c>
      <c r="G558" s="1" t="s">
        <v>3398</v>
      </c>
      <c r="H558" s="1" t="s">
        <v>1098</v>
      </c>
      <c r="I558" s="22" t="s">
        <v>1189</v>
      </c>
      <c r="J558" s="1" t="s">
        <v>2567</v>
      </c>
    </row>
    <row r="559" spans="1:10" x14ac:dyDescent="0.25">
      <c r="A559" s="1" t="s">
        <v>5011</v>
      </c>
      <c r="B559" s="1" t="s">
        <v>5026</v>
      </c>
      <c r="C559" s="2">
        <v>44853</v>
      </c>
      <c r="D559" s="6">
        <v>143.75</v>
      </c>
      <c r="E559" s="6">
        <v>172.5</v>
      </c>
      <c r="F559" s="1" t="s">
        <v>468</v>
      </c>
      <c r="G559" s="1" t="s">
        <v>3398</v>
      </c>
      <c r="H559" s="1" t="s">
        <v>1098</v>
      </c>
      <c r="I559" s="22" t="s">
        <v>1189</v>
      </c>
      <c r="J559" s="1" t="s">
        <v>5027</v>
      </c>
    </row>
    <row r="560" spans="1:10" x14ac:dyDescent="0.25">
      <c r="A560" s="1" t="s">
        <v>5012</v>
      </c>
      <c r="B560" s="1" t="s">
        <v>5028</v>
      </c>
      <c r="C560" s="2">
        <v>44853</v>
      </c>
      <c r="D560" s="6">
        <v>327.58</v>
      </c>
      <c r="E560" s="6">
        <v>393.1</v>
      </c>
      <c r="F560" s="1" t="s">
        <v>468</v>
      </c>
      <c r="G560" s="1" t="s">
        <v>3398</v>
      </c>
      <c r="H560" s="1" t="s">
        <v>1098</v>
      </c>
      <c r="I560" s="22" t="s">
        <v>1189</v>
      </c>
      <c r="J560" s="1" t="s">
        <v>5029</v>
      </c>
    </row>
    <row r="561" spans="1:10" x14ac:dyDescent="0.25">
      <c r="A561" s="1" t="s">
        <v>5013</v>
      </c>
      <c r="B561" s="1" t="s">
        <v>5030</v>
      </c>
      <c r="C561" s="2">
        <v>44853</v>
      </c>
      <c r="D561" s="6">
        <v>3590.23</v>
      </c>
      <c r="E561" s="6">
        <v>4308.28</v>
      </c>
      <c r="F561" s="1" t="s">
        <v>468</v>
      </c>
      <c r="G561" s="1" t="s">
        <v>3398</v>
      </c>
      <c r="H561" s="1" t="s">
        <v>1098</v>
      </c>
      <c r="I561" s="22" t="s">
        <v>1189</v>
      </c>
      <c r="J561" s="1" t="s">
        <v>5031</v>
      </c>
    </row>
    <row r="562" spans="1:10" x14ac:dyDescent="0.25">
      <c r="A562" s="1" t="s">
        <v>5014</v>
      </c>
      <c r="B562" s="1" t="s">
        <v>5032</v>
      </c>
      <c r="C562" s="2">
        <v>44853</v>
      </c>
      <c r="D562" s="6">
        <v>147.32</v>
      </c>
      <c r="E562" s="6">
        <v>883.92</v>
      </c>
      <c r="F562" s="1" t="s">
        <v>5033</v>
      </c>
      <c r="G562" s="14" t="s">
        <v>5034</v>
      </c>
      <c r="H562" s="1" t="s">
        <v>5035</v>
      </c>
      <c r="I562" s="22" t="s">
        <v>5036</v>
      </c>
      <c r="J562" s="1" t="s">
        <v>5037</v>
      </c>
    </row>
    <row r="563" spans="1:10" x14ac:dyDescent="0.25">
      <c r="A563" s="1" t="s">
        <v>5038</v>
      </c>
      <c r="B563" s="1" t="s">
        <v>5042</v>
      </c>
      <c r="C563" s="2">
        <v>44854</v>
      </c>
      <c r="D563" s="6">
        <v>60</v>
      </c>
      <c r="E563" s="6">
        <v>72</v>
      </c>
      <c r="F563" s="1" t="s">
        <v>5043</v>
      </c>
      <c r="G563" s="14" t="s">
        <v>5044</v>
      </c>
      <c r="H563" s="1" t="s">
        <v>5045</v>
      </c>
      <c r="I563" s="22"/>
      <c r="J563" s="1" t="s">
        <v>5046</v>
      </c>
    </row>
    <row r="564" spans="1:10" x14ac:dyDescent="0.25">
      <c r="A564" s="1" t="s">
        <v>5039</v>
      </c>
      <c r="B564" s="1" t="s">
        <v>5047</v>
      </c>
      <c r="C564" s="2">
        <v>44854</v>
      </c>
      <c r="D564" s="6">
        <v>60</v>
      </c>
      <c r="E564" s="6">
        <v>72</v>
      </c>
      <c r="F564" s="1" t="s">
        <v>5043</v>
      </c>
      <c r="G564" s="14" t="s">
        <v>5044</v>
      </c>
      <c r="H564" s="1" t="s">
        <v>5045</v>
      </c>
      <c r="I564" s="22"/>
      <c r="J564" s="1" t="s">
        <v>5046</v>
      </c>
    </row>
    <row r="565" spans="1:10" x14ac:dyDescent="0.25">
      <c r="A565" s="1" t="s">
        <v>5040</v>
      </c>
      <c r="B565" s="1" t="s">
        <v>5048</v>
      </c>
      <c r="C565" s="2">
        <v>44854</v>
      </c>
      <c r="D565" s="6">
        <v>60</v>
      </c>
      <c r="E565" s="6">
        <v>72</v>
      </c>
      <c r="F565" s="1" t="s">
        <v>5043</v>
      </c>
      <c r="G565" s="14" t="s">
        <v>5044</v>
      </c>
      <c r="H565" s="1" t="s">
        <v>5045</v>
      </c>
      <c r="I565" s="22"/>
      <c r="J565" s="1" t="s">
        <v>5046</v>
      </c>
    </row>
    <row r="566" spans="1:10" x14ac:dyDescent="0.25">
      <c r="A566" s="1" t="s">
        <v>5041</v>
      </c>
      <c r="B566" s="1" t="s">
        <v>5049</v>
      </c>
      <c r="C566" s="2">
        <v>44855</v>
      </c>
      <c r="D566" s="6"/>
      <c r="E566" s="6">
        <v>505</v>
      </c>
      <c r="F566" s="1" t="s">
        <v>5050</v>
      </c>
      <c r="G566" s="14" t="s">
        <v>5051</v>
      </c>
      <c r="H566" s="1" t="s">
        <v>5052</v>
      </c>
      <c r="I566" s="22" t="s">
        <v>5053</v>
      </c>
      <c r="J566" s="1" t="s">
        <v>5054</v>
      </c>
    </row>
    <row r="567" spans="1:10" x14ac:dyDescent="0.25">
      <c r="A567" s="1" t="s">
        <v>5055</v>
      </c>
      <c r="B567" s="1" t="s">
        <v>5059</v>
      </c>
      <c r="C567" s="2">
        <v>44858</v>
      </c>
      <c r="D567" s="6">
        <v>300</v>
      </c>
      <c r="E567" s="6">
        <v>330</v>
      </c>
      <c r="F567" s="1" t="s">
        <v>4763</v>
      </c>
      <c r="G567" s="14" t="s">
        <v>4764</v>
      </c>
      <c r="H567" s="1" t="s">
        <v>4765</v>
      </c>
      <c r="I567" s="22" t="s">
        <v>4766</v>
      </c>
      <c r="J567" s="1" t="s">
        <v>5060</v>
      </c>
    </row>
    <row r="568" spans="1:10" x14ac:dyDescent="0.25">
      <c r="A568" s="1" t="s">
        <v>5056</v>
      </c>
      <c r="B568" s="1" t="s">
        <v>5061</v>
      </c>
      <c r="C568" s="2">
        <v>44858</v>
      </c>
      <c r="D568" s="6"/>
      <c r="E568" s="6">
        <v>85</v>
      </c>
      <c r="F568" s="1" t="s">
        <v>469</v>
      </c>
      <c r="G568" s="14" t="s">
        <v>3407</v>
      </c>
      <c r="H568" s="1"/>
      <c r="I568" s="22"/>
      <c r="J568" s="1" t="s">
        <v>5062</v>
      </c>
    </row>
    <row r="569" spans="1:10" x14ac:dyDescent="0.25">
      <c r="A569" s="1" t="s">
        <v>5057</v>
      </c>
      <c r="B569" s="1" t="s">
        <v>5063</v>
      </c>
      <c r="C569" s="2">
        <v>44858</v>
      </c>
      <c r="D569" s="6"/>
      <c r="E569" s="6">
        <v>49.5</v>
      </c>
      <c r="F569" s="1" t="s">
        <v>469</v>
      </c>
      <c r="G569" s="14" t="s">
        <v>3407</v>
      </c>
      <c r="H569" s="1"/>
      <c r="I569" s="22"/>
      <c r="J569" s="1" t="s">
        <v>5064</v>
      </c>
    </row>
    <row r="570" spans="1:10" x14ac:dyDescent="0.25">
      <c r="A570" s="1" t="s">
        <v>5058</v>
      </c>
      <c r="B570" s="1" t="s">
        <v>5065</v>
      </c>
      <c r="C570" s="2">
        <v>44858</v>
      </c>
      <c r="D570" s="6"/>
      <c r="E570" s="6">
        <v>212.4</v>
      </c>
      <c r="F570" s="1" t="s">
        <v>5066</v>
      </c>
      <c r="G570" s="14" t="s">
        <v>5067</v>
      </c>
      <c r="H570" s="1" t="s">
        <v>5068</v>
      </c>
      <c r="I570" s="22" t="s">
        <v>5069</v>
      </c>
      <c r="J570" s="1" t="s">
        <v>5070</v>
      </c>
    </row>
    <row r="571" spans="1:10" x14ac:dyDescent="0.25">
      <c r="A571" s="1" t="s">
        <v>5074</v>
      </c>
      <c r="B571" s="1" t="s">
        <v>5080</v>
      </c>
      <c r="C571" s="2">
        <v>44860</v>
      </c>
      <c r="D571" s="6">
        <v>681</v>
      </c>
      <c r="E571" s="6">
        <v>817.2</v>
      </c>
      <c r="F571" s="1" t="s">
        <v>2506</v>
      </c>
      <c r="G571" s="14" t="s">
        <v>4448</v>
      </c>
      <c r="H571" s="1" t="s">
        <v>2507</v>
      </c>
      <c r="I571" s="22" t="s">
        <v>5081</v>
      </c>
      <c r="J571" s="1" t="s">
        <v>5082</v>
      </c>
    </row>
    <row r="572" spans="1:10" x14ac:dyDescent="0.25">
      <c r="A572" s="1" t="s">
        <v>5075</v>
      </c>
      <c r="B572" s="1" t="s">
        <v>5083</v>
      </c>
      <c r="C572" s="2">
        <v>44860</v>
      </c>
      <c r="D572" s="6"/>
      <c r="E572" s="6">
        <v>210</v>
      </c>
      <c r="F572" s="1" t="s">
        <v>486</v>
      </c>
      <c r="G572" s="14" t="s">
        <v>3528</v>
      </c>
      <c r="H572" s="1" t="s">
        <v>1133</v>
      </c>
      <c r="I572" s="22" t="s">
        <v>5084</v>
      </c>
      <c r="J572" s="1" t="s">
        <v>5085</v>
      </c>
    </row>
    <row r="573" spans="1:10" x14ac:dyDescent="0.25">
      <c r="A573" s="1" t="s">
        <v>5076</v>
      </c>
      <c r="B573" s="1" t="s">
        <v>5086</v>
      </c>
      <c r="C573" s="2">
        <v>44861</v>
      </c>
      <c r="D573" s="6">
        <v>12682.5</v>
      </c>
      <c r="E573" s="6">
        <v>15219</v>
      </c>
      <c r="F573" s="1" t="s">
        <v>468</v>
      </c>
      <c r="G573" s="1" t="s">
        <v>3398</v>
      </c>
      <c r="H573" s="1" t="s">
        <v>1098</v>
      </c>
      <c r="I573" s="22" t="s">
        <v>1189</v>
      </c>
      <c r="J573" s="1" t="s">
        <v>5087</v>
      </c>
    </row>
    <row r="574" spans="1:10" x14ac:dyDescent="0.25">
      <c r="A574" s="1" t="s">
        <v>5077</v>
      </c>
      <c r="B574" s="1" t="s">
        <v>5088</v>
      </c>
      <c r="C574" s="2">
        <v>44861</v>
      </c>
      <c r="D574" s="6">
        <v>113.51</v>
      </c>
      <c r="E574" s="6">
        <v>136.21</v>
      </c>
      <c r="F574" s="1" t="s">
        <v>468</v>
      </c>
      <c r="G574" s="1" t="s">
        <v>3398</v>
      </c>
      <c r="H574" s="1" t="s">
        <v>1098</v>
      </c>
      <c r="I574" s="22" t="s">
        <v>1189</v>
      </c>
      <c r="J574" s="1" t="s">
        <v>5089</v>
      </c>
    </row>
    <row r="575" spans="1:10" x14ac:dyDescent="0.25">
      <c r="A575" s="1" t="s">
        <v>5078</v>
      </c>
      <c r="B575" s="1" t="s">
        <v>5090</v>
      </c>
      <c r="C575" s="2">
        <v>44861</v>
      </c>
      <c r="D575" s="6">
        <v>12.5</v>
      </c>
      <c r="E575" s="6">
        <v>15</v>
      </c>
      <c r="F575" s="1" t="s">
        <v>468</v>
      </c>
      <c r="G575" s="1" t="s">
        <v>3398</v>
      </c>
      <c r="H575" s="1" t="s">
        <v>1098</v>
      </c>
      <c r="I575" s="22" t="s">
        <v>1189</v>
      </c>
      <c r="J575" s="1" t="s">
        <v>5091</v>
      </c>
    </row>
    <row r="576" spans="1:10" x14ac:dyDescent="0.25">
      <c r="A576" s="1" t="s">
        <v>5079</v>
      </c>
      <c r="B576" s="1" t="s">
        <v>5092</v>
      </c>
      <c r="C576" s="2">
        <v>44861</v>
      </c>
      <c r="D576" s="6">
        <v>3440</v>
      </c>
      <c r="E576" s="6">
        <v>4128</v>
      </c>
      <c r="F576" s="1" t="s">
        <v>468</v>
      </c>
      <c r="G576" s="1" t="s">
        <v>3398</v>
      </c>
      <c r="H576" s="1" t="s">
        <v>1098</v>
      </c>
      <c r="I576" s="22" t="s">
        <v>1189</v>
      </c>
      <c r="J576" s="1" t="s">
        <v>5093</v>
      </c>
    </row>
    <row r="577" spans="1:10" x14ac:dyDescent="0.25">
      <c r="A577" s="1" t="s">
        <v>5094</v>
      </c>
      <c r="B577" s="1" t="s">
        <v>5101</v>
      </c>
      <c r="C577" s="2">
        <v>44865</v>
      </c>
      <c r="D577" s="6">
        <v>2064.4699999999998</v>
      </c>
      <c r="E577" s="6">
        <v>2477.36</v>
      </c>
      <c r="F577" s="1" t="s">
        <v>470</v>
      </c>
      <c r="G577" s="14" t="s">
        <v>3399</v>
      </c>
      <c r="H577" s="1" t="s">
        <v>1101</v>
      </c>
      <c r="I577" s="22" t="s">
        <v>3400</v>
      </c>
      <c r="J577" s="1" t="s">
        <v>5102</v>
      </c>
    </row>
    <row r="578" spans="1:10" x14ac:dyDescent="0.25">
      <c r="A578" s="1" t="s">
        <v>5095</v>
      </c>
      <c r="B578" s="1" t="s">
        <v>5103</v>
      </c>
      <c r="C578" s="2">
        <v>44865</v>
      </c>
      <c r="D578" s="6"/>
      <c r="E578" s="6">
        <v>1380</v>
      </c>
      <c r="F578" s="1" t="s">
        <v>3039</v>
      </c>
      <c r="G578" s="14" t="s">
        <v>5104</v>
      </c>
      <c r="H578" s="1" t="s">
        <v>3040</v>
      </c>
      <c r="I578" s="22" t="s">
        <v>5105</v>
      </c>
      <c r="J578" s="1" t="s">
        <v>5106</v>
      </c>
    </row>
    <row r="579" spans="1:10" x14ac:dyDescent="0.25">
      <c r="A579" s="1" t="s">
        <v>5096</v>
      </c>
      <c r="B579" s="1" t="s">
        <v>5107</v>
      </c>
      <c r="C579" s="2">
        <v>44865</v>
      </c>
      <c r="D579" s="6">
        <v>124.45</v>
      </c>
      <c r="E579" s="6">
        <v>149.34</v>
      </c>
      <c r="F579" s="1" t="s">
        <v>4516</v>
      </c>
      <c r="G579" s="1" t="s">
        <v>4517</v>
      </c>
      <c r="H579" s="1" t="s">
        <v>4518</v>
      </c>
      <c r="I579" s="22" t="s">
        <v>5108</v>
      </c>
      <c r="J579" s="1" t="s">
        <v>4832</v>
      </c>
    </row>
    <row r="580" spans="1:10" x14ac:dyDescent="0.25">
      <c r="A580" s="1" t="s">
        <v>5097</v>
      </c>
      <c r="B580" s="1" t="s">
        <v>5109</v>
      </c>
      <c r="C580" s="2">
        <v>44865</v>
      </c>
      <c r="D580" s="6">
        <v>66</v>
      </c>
      <c r="E580" s="6">
        <v>79.2</v>
      </c>
      <c r="F580" s="1" t="s">
        <v>4516</v>
      </c>
      <c r="G580" s="1" t="s">
        <v>4517</v>
      </c>
      <c r="H580" s="1" t="s">
        <v>4518</v>
      </c>
      <c r="I580" s="22" t="s">
        <v>5110</v>
      </c>
      <c r="J580" s="1" t="s">
        <v>5111</v>
      </c>
    </row>
    <row r="581" spans="1:10" x14ac:dyDescent="0.25">
      <c r="A581" s="1" t="s">
        <v>5098</v>
      </c>
      <c r="B581" s="1" t="s">
        <v>5112</v>
      </c>
      <c r="C581" s="2">
        <v>44865</v>
      </c>
      <c r="D581" s="6">
        <v>9</v>
      </c>
      <c r="E581" s="6">
        <v>10.8</v>
      </c>
      <c r="F581" s="1" t="s">
        <v>470</v>
      </c>
      <c r="G581" s="14" t="s">
        <v>3399</v>
      </c>
      <c r="H581" s="1" t="s">
        <v>1101</v>
      </c>
      <c r="I581" s="22" t="s">
        <v>3400</v>
      </c>
      <c r="J581" s="1" t="s">
        <v>5113</v>
      </c>
    </row>
    <row r="582" spans="1:10" x14ac:dyDescent="0.25">
      <c r="A582" s="1" t="s">
        <v>5099</v>
      </c>
      <c r="B582" s="1" t="s">
        <v>5114</v>
      </c>
      <c r="C582" s="2">
        <v>44865</v>
      </c>
      <c r="D582" s="6">
        <v>78</v>
      </c>
      <c r="E582" s="6">
        <v>93.6</v>
      </c>
      <c r="F582" s="1" t="s">
        <v>470</v>
      </c>
      <c r="G582" s="14" t="s">
        <v>3399</v>
      </c>
      <c r="H582" s="1" t="s">
        <v>1101</v>
      </c>
      <c r="I582" s="22" t="s">
        <v>3400</v>
      </c>
      <c r="J582" s="1" t="s">
        <v>4654</v>
      </c>
    </row>
    <row r="583" spans="1:10" x14ac:dyDescent="0.25">
      <c r="A583" s="1" t="s">
        <v>5100</v>
      </c>
      <c r="B583" s="1" t="s">
        <v>5115</v>
      </c>
      <c r="C583" s="2">
        <v>44865</v>
      </c>
      <c r="D583" s="6">
        <v>1234.3</v>
      </c>
      <c r="E583" s="6">
        <v>1481.16</v>
      </c>
      <c r="F583" s="1" t="s">
        <v>5116</v>
      </c>
      <c r="G583" s="14" t="s">
        <v>5117</v>
      </c>
      <c r="H583" s="1" t="s">
        <v>5118</v>
      </c>
      <c r="I583" s="22" t="s">
        <v>5119</v>
      </c>
      <c r="J583" s="1" t="s">
        <v>5120</v>
      </c>
    </row>
    <row r="584" spans="1:10" x14ac:dyDescent="0.25">
      <c r="A584" s="1" t="s">
        <v>5121</v>
      </c>
      <c r="B584" s="1" t="s">
        <v>5130</v>
      </c>
      <c r="C584" s="2">
        <v>44867</v>
      </c>
      <c r="D584" s="6"/>
      <c r="E584" s="6">
        <v>49.5</v>
      </c>
      <c r="F584" s="1" t="s">
        <v>469</v>
      </c>
      <c r="G584" s="14" t="s">
        <v>3407</v>
      </c>
      <c r="H584" s="1"/>
      <c r="I584" s="22"/>
      <c r="J584" s="1" t="s">
        <v>5131</v>
      </c>
    </row>
    <row r="585" spans="1:10" x14ac:dyDescent="0.25">
      <c r="A585" s="1" t="s">
        <v>5122</v>
      </c>
      <c r="B585" s="1" t="s">
        <v>5132</v>
      </c>
      <c r="C585" s="2">
        <v>44867</v>
      </c>
      <c r="D585" s="6"/>
      <c r="E585" s="6">
        <v>80</v>
      </c>
      <c r="F585" s="1" t="s">
        <v>469</v>
      </c>
      <c r="G585" s="14" t="s">
        <v>3407</v>
      </c>
      <c r="H585" s="1"/>
      <c r="I585" s="22"/>
      <c r="J585" s="1" t="s">
        <v>5064</v>
      </c>
    </row>
    <row r="586" spans="1:10" x14ac:dyDescent="0.25">
      <c r="A586" s="1" t="s">
        <v>5123</v>
      </c>
      <c r="B586" s="1" t="s">
        <v>5133</v>
      </c>
      <c r="C586" s="2">
        <v>44868</v>
      </c>
      <c r="D586" s="6">
        <v>1476</v>
      </c>
      <c r="E586" s="6">
        <v>1771.2</v>
      </c>
      <c r="F586" s="1" t="s">
        <v>4516</v>
      </c>
      <c r="G586" s="1" t="s">
        <v>4517</v>
      </c>
      <c r="H586" s="1" t="s">
        <v>4518</v>
      </c>
      <c r="I586" s="22" t="s">
        <v>4522</v>
      </c>
      <c r="J586" s="1" t="s">
        <v>5134</v>
      </c>
    </row>
    <row r="587" spans="1:10" x14ac:dyDescent="0.25">
      <c r="A587" s="1" t="s">
        <v>5124</v>
      </c>
      <c r="B587" s="1" t="s">
        <v>5135</v>
      </c>
      <c r="C587" s="2">
        <v>44868</v>
      </c>
      <c r="D587" s="6">
        <v>1476</v>
      </c>
      <c r="E587" s="6">
        <v>1771.2</v>
      </c>
      <c r="F587" s="1" t="s">
        <v>4516</v>
      </c>
      <c r="G587" s="1" t="s">
        <v>4517</v>
      </c>
      <c r="H587" s="1" t="s">
        <v>4518</v>
      </c>
      <c r="I587" s="22" t="s">
        <v>4519</v>
      </c>
      <c r="J587" s="1" t="s">
        <v>5136</v>
      </c>
    </row>
    <row r="588" spans="1:10" x14ac:dyDescent="0.25">
      <c r="A588" s="1" t="s">
        <v>5125</v>
      </c>
      <c r="B588" s="1" t="s">
        <v>5137</v>
      </c>
      <c r="C588" s="2">
        <v>44868</v>
      </c>
      <c r="D588" s="6">
        <v>165.96</v>
      </c>
      <c r="E588" s="6">
        <v>199.15</v>
      </c>
      <c r="F588" s="1" t="s">
        <v>466</v>
      </c>
      <c r="G588" s="14" t="s">
        <v>3406</v>
      </c>
      <c r="H588" s="1" t="s">
        <v>1105</v>
      </c>
      <c r="I588" s="22" t="s">
        <v>4501</v>
      </c>
      <c r="J588" s="1" t="s">
        <v>5138</v>
      </c>
    </row>
    <row r="589" spans="1:10" x14ac:dyDescent="0.25">
      <c r="A589" s="1" t="s">
        <v>5126</v>
      </c>
      <c r="B589" s="1" t="s">
        <v>5139</v>
      </c>
      <c r="C589" s="2">
        <v>44868</v>
      </c>
      <c r="D589" s="6">
        <v>15.27</v>
      </c>
      <c r="E589" s="6">
        <v>18.32</v>
      </c>
      <c r="F589" s="1" t="s">
        <v>466</v>
      </c>
      <c r="G589" s="14" t="s">
        <v>3406</v>
      </c>
      <c r="H589" s="1" t="s">
        <v>1105</v>
      </c>
      <c r="I589" s="22" t="s">
        <v>4501</v>
      </c>
      <c r="J589" s="1" t="s">
        <v>5140</v>
      </c>
    </row>
    <row r="590" spans="1:10" x14ac:dyDescent="0.25">
      <c r="A590" s="1" t="s">
        <v>5127</v>
      </c>
      <c r="B590" s="1" t="s">
        <v>5141</v>
      </c>
      <c r="C590" s="2">
        <v>44868</v>
      </c>
      <c r="D590" s="6">
        <v>210.1</v>
      </c>
      <c r="E590" s="6">
        <v>252.12</v>
      </c>
      <c r="F590" s="1" t="s">
        <v>4516</v>
      </c>
      <c r="G590" s="14" t="s">
        <v>4517</v>
      </c>
      <c r="H590" s="1" t="s">
        <v>4518</v>
      </c>
      <c r="I590" s="22" t="s">
        <v>5142</v>
      </c>
      <c r="J590" s="1" t="s">
        <v>5143</v>
      </c>
    </row>
    <row r="591" spans="1:10" x14ac:dyDescent="0.25">
      <c r="A591" s="1" t="s">
        <v>5128</v>
      </c>
      <c r="B591" s="1" t="s">
        <v>5144</v>
      </c>
      <c r="C591" s="2">
        <v>44869</v>
      </c>
      <c r="D591" s="6">
        <v>20050</v>
      </c>
      <c r="E591" s="6">
        <v>24060</v>
      </c>
      <c r="F591" s="1" t="s">
        <v>468</v>
      </c>
      <c r="G591" s="1" t="s">
        <v>3398</v>
      </c>
      <c r="H591" s="1" t="s">
        <v>1098</v>
      </c>
      <c r="I591" s="22" t="s">
        <v>1189</v>
      </c>
      <c r="J591" s="1" t="s">
        <v>5145</v>
      </c>
    </row>
    <row r="592" spans="1:10" x14ac:dyDescent="0.25">
      <c r="A592" s="1" t="s">
        <v>5129</v>
      </c>
      <c r="B592" s="1" t="s">
        <v>5146</v>
      </c>
      <c r="C592" s="2">
        <v>44869</v>
      </c>
      <c r="D592" s="6"/>
      <c r="E592" s="6">
        <v>44552</v>
      </c>
      <c r="F592" s="1" t="s">
        <v>475</v>
      </c>
      <c r="G592" s="14" t="s">
        <v>3411</v>
      </c>
      <c r="H592" s="1" t="s">
        <v>1115</v>
      </c>
      <c r="I592" s="22" t="s">
        <v>3412</v>
      </c>
      <c r="J592" s="1" t="s">
        <v>3704</v>
      </c>
    </row>
    <row r="593" spans="1:10" x14ac:dyDescent="0.25">
      <c r="A593" s="1" t="s">
        <v>5153</v>
      </c>
      <c r="B593" s="1" t="s">
        <v>5080</v>
      </c>
      <c r="C593" s="2">
        <v>44872</v>
      </c>
      <c r="D593" s="6">
        <v>2153.75</v>
      </c>
      <c r="E593" s="6">
        <v>2584.5</v>
      </c>
      <c r="F593" s="1" t="s">
        <v>5167</v>
      </c>
      <c r="G593" s="14" t="s">
        <v>5168</v>
      </c>
      <c r="H593" s="1" t="s">
        <v>5169</v>
      </c>
      <c r="I593" s="22" t="s">
        <v>5170</v>
      </c>
      <c r="J593" s="1" t="s">
        <v>5171</v>
      </c>
    </row>
    <row r="594" spans="1:10" x14ac:dyDescent="0.25">
      <c r="A594" s="1" t="s">
        <v>5154</v>
      </c>
      <c r="B594" s="1" t="s">
        <v>5165</v>
      </c>
      <c r="C594" s="2">
        <v>44872</v>
      </c>
      <c r="D594" s="6">
        <v>165.96</v>
      </c>
      <c r="E594" s="6">
        <v>199.15</v>
      </c>
      <c r="F594" s="1" t="s">
        <v>466</v>
      </c>
      <c r="G594" s="14" t="s">
        <v>3406</v>
      </c>
      <c r="H594" s="1" t="s">
        <v>1105</v>
      </c>
      <c r="I594" s="22" t="s">
        <v>4501</v>
      </c>
      <c r="J594" s="1" t="s">
        <v>5166</v>
      </c>
    </row>
    <row r="595" spans="1:10" x14ac:dyDescent="0.25">
      <c r="A595" s="1" t="s">
        <v>5155</v>
      </c>
      <c r="B595" s="1" t="s">
        <v>3466</v>
      </c>
      <c r="C595" s="2">
        <v>44872</v>
      </c>
      <c r="D595" s="6">
        <v>1736</v>
      </c>
      <c r="E595" s="6">
        <v>2083.1999999999998</v>
      </c>
      <c r="F595" s="1" t="s">
        <v>2597</v>
      </c>
      <c r="G595" s="14" t="s">
        <v>3401</v>
      </c>
      <c r="H595" s="1" t="s">
        <v>2598</v>
      </c>
      <c r="I595" s="22" t="s">
        <v>5163</v>
      </c>
      <c r="J595" s="1" t="s">
        <v>5164</v>
      </c>
    </row>
    <row r="596" spans="1:10" x14ac:dyDescent="0.25">
      <c r="A596" s="1" t="s">
        <v>5156</v>
      </c>
      <c r="B596" s="1" t="s">
        <v>5160</v>
      </c>
      <c r="C596" s="2">
        <v>44872</v>
      </c>
      <c r="D596" s="6"/>
      <c r="E596" s="6">
        <v>134</v>
      </c>
      <c r="F596" s="1" t="s">
        <v>486</v>
      </c>
      <c r="G596" s="14" t="s">
        <v>3528</v>
      </c>
      <c r="H596" s="1" t="s">
        <v>1133</v>
      </c>
      <c r="I596" s="22" t="s">
        <v>5161</v>
      </c>
      <c r="J596" s="1" t="s">
        <v>5162</v>
      </c>
    </row>
    <row r="597" spans="1:10" x14ac:dyDescent="0.25">
      <c r="A597" s="1" t="s">
        <v>5157</v>
      </c>
      <c r="B597" s="1" t="s">
        <v>5158</v>
      </c>
      <c r="C597" s="2">
        <v>44872</v>
      </c>
      <c r="D597" s="6">
        <v>2920.83</v>
      </c>
      <c r="E597" s="6">
        <v>3505</v>
      </c>
      <c r="F597" s="1" t="s">
        <v>468</v>
      </c>
      <c r="G597" s="1" t="s">
        <v>3398</v>
      </c>
      <c r="H597" s="1" t="s">
        <v>1098</v>
      </c>
      <c r="I597" s="22" t="s">
        <v>1189</v>
      </c>
      <c r="J597" s="1" t="s">
        <v>5159</v>
      </c>
    </row>
    <row r="598" spans="1:10" x14ac:dyDescent="0.25">
      <c r="A598" s="1" t="s">
        <v>5172</v>
      </c>
      <c r="B598" s="1" t="s">
        <v>5177</v>
      </c>
      <c r="C598" s="2">
        <v>44873</v>
      </c>
      <c r="D598" s="6">
        <v>12.5</v>
      </c>
      <c r="E598" s="6">
        <v>15</v>
      </c>
      <c r="F598" s="1" t="s">
        <v>468</v>
      </c>
      <c r="G598" s="1" t="s">
        <v>3398</v>
      </c>
      <c r="H598" s="1" t="s">
        <v>1098</v>
      </c>
      <c r="I598" s="22" t="s">
        <v>1189</v>
      </c>
      <c r="J598" s="1" t="s">
        <v>5178</v>
      </c>
    </row>
    <row r="599" spans="1:10" x14ac:dyDescent="0.25">
      <c r="A599" s="1" t="s">
        <v>5173</v>
      </c>
      <c r="B599" s="1" t="s">
        <v>5179</v>
      </c>
      <c r="C599" s="2">
        <v>44873</v>
      </c>
      <c r="D599" s="6">
        <v>14.97</v>
      </c>
      <c r="E599" s="6">
        <v>17.96</v>
      </c>
      <c r="F599" s="1" t="s">
        <v>468</v>
      </c>
      <c r="G599" s="1" t="s">
        <v>3398</v>
      </c>
      <c r="H599" s="1" t="s">
        <v>1098</v>
      </c>
      <c r="I599" s="22" t="s">
        <v>1189</v>
      </c>
      <c r="J599" s="1" t="s">
        <v>4761</v>
      </c>
    </row>
    <row r="600" spans="1:10" x14ac:dyDescent="0.25">
      <c r="A600" s="1" t="s">
        <v>5174</v>
      </c>
      <c r="B600" s="1" t="s">
        <v>5180</v>
      </c>
      <c r="C600" s="2">
        <v>44873</v>
      </c>
      <c r="D600" s="6"/>
      <c r="E600" s="6">
        <v>49.5</v>
      </c>
      <c r="F600" s="1" t="s">
        <v>469</v>
      </c>
      <c r="G600" s="14" t="s">
        <v>3407</v>
      </c>
      <c r="H600" s="1"/>
      <c r="I600" s="22"/>
      <c r="J600" s="1" t="s">
        <v>5181</v>
      </c>
    </row>
    <row r="601" spans="1:10" x14ac:dyDescent="0.25">
      <c r="A601" s="1" t="s">
        <v>5175</v>
      </c>
      <c r="B601" s="1" t="s">
        <v>4752</v>
      </c>
      <c r="C601" s="2">
        <v>44873</v>
      </c>
      <c r="D601" s="6"/>
      <c r="E601" s="6">
        <v>936</v>
      </c>
      <c r="F601" s="1" t="s">
        <v>473</v>
      </c>
      <c r="G601" s="14" t="s">
        <v>3403</v>
      </c>
      <c r="H601" s="1" t="s">
        <v>1109</v>
      </c>
      <c r="I601" s="22" t="s">
        <v>3404</v>
      </c>
      <c r="J601" s="1" t="s">
        <v>5182</v>
      </c>
    </row>
    <row r="602" spans="1:10" x14ac:dyDescent="0.25">
      <c r="A602" s="1" t="s">
        <v>5176</v>
      </c>
      <c r="B602" s="1" t="s">
        <v>5183</v>
      </c>
      <c r="C602" s="2">
        <v>44874</v>
      </c>
      <c r="D602" s="6"/>
      <c r="E602" s="6">
        <v>140</v>
      </c>
      <c r="F602" s="1" t="s">
        <v>4349</v>
      </c>
      <c r="G602" s="14" t="s">
        <v>4350</v>
      </c>
      <c r="H602" s="1"/>
      <c r="I602" s="22"/>
      <c r="J602" s="1" t="s">
        <v>5184</v>
      </c>
    </row>
    <row r="603" spans="1:10" x14ac:dyDescent="0.25">
      <c r="A603" s="1" t="s">
        <v>5185</v>
      </c>
      <c r="B603" s="1" t="s">
        <v>5192</v>
      </c>
      <c r="C603" s="2">
        <v>44876</v>
      </c>
      <c r="D603" s="6">
        <v>12682.5</v>
      </c>
      <c r="E603" s="6">
        <v>15219</v>
      </c>
      <c r="F603" s="1" t="s">
        <v>468</v>
      </c>
      <c r="G603" s="1" t="s">
        <v>3398</v>
      </c>
      <c r="H603" s="1" t="s">
        <v>1098</v>
      </c>
      <c r="I603" s="22" t="s">
        <v>1189</v>
      </c>
      <c r="J603" s="1" t="s">
        <v>5193</v>
      </c>
    </row>
    <row r="604" spans="1:10" x14ac:dyDescent="0.25">
      <c r="A604" s="1" t="s">
        <v>5186</v>
      </c>
      <c r="B604" s="1" t="s">
        <v>5194</v>
      </c>
      <c r="C604" s="2">
        <v>44876</v>
      </c>
      <c r="D604" s="6">
        <v>26.88</v>
      </c>
      <c r="E604" s="6">
        <v>26.88</v>
      </c>
      <c r="F604" s="1" t="s">
        <v>468</v>
      </c>
      <c r="G604" s="1" t="s">
        <v>3398</v>
      </c>
      <c r="H604" s="1" t="s">
        <v>1098</v>
      </c>
      <c r="I604" s="22" t="s">
        <v>1189</v>
      </c>
      <c r="J604" s="1" t="s">
        <v>5195</v>
      </c>
    </row>
    <row r="605" spans="1:10" x14ac:dyDescent="0.25">
      <c r="A605" s="1" t="s">
        <v>5187</v>
      </c>
      <c r="B605" s="1" t="s">
        <v>5196</v>
      </c>
      <c r="C605" s="2">
        <v>44876</v>
      </c>
      <c r="D605" s="6">
        <v>175</v>
      </c>
      <c r="E605" s="6">
        <v>210</v>
      </c>
      <c r="F605" s="1" t="s">
        <v>468</v>
      </c>
      <c r="G605" s="1" t="s">
        <v>3398</v>
      </c>
      <c r="H605" s="1" t="s">
        <v>1098</v>
      </c>
      <c r="I605" s="22" t="s">
        <v>1189</v>
      </c>
      <c r="J605" s="1" t="s">
        <v>5197</v>
      </c>
    </row>
    <row r="606" spans="1:10" x14ac:dyDescent="0.25">
      <c r="A606" s="1" t="s">
        <v>5188</v>
      </c>
      <c r="B606" s="1" t="s">
        <v>5198</v>
      </c>
      <c r="C606" s="2">
        <v>44876</v>
      </c>
      <c r="D606" s="6">
        <v>297.08</v>
      </c>
      <c r="E606" s="6">
        <v>356.5</v>
      </c>
      <c r="F606" s="1" t="s">
        <v>468</v>
      </c>
      <c r="G606" s="1" t="s">
        <v>3398</v>
      </c>
      <c r="H606" s="1" t="s">
        <v>1098</v>
      </c>
      <c r="I606" s="22" t="s">
        <v>1189</v>
      </c>
      <c r="J606" s="1" t="s">
        <v>2567</v>
      </c>
    </row>
    <row r="607" spans="1:10" x14ac:dyDescent="0.25">
      <c r="A607" s="1" t="s">
        <v>5189</v>
      </c>
      <c r="B607" s="1" t="s">
        <v>5199</v>
      </c>
      <c r="C607" s="2">
        <v>44876</v>
      </c>
      <c r="D607" s="6">
        <v>52.32</v>
      </c>
      <c r="E607" s="6">
        <v>62.82</v>
      </c>
      <c r="F607" s="1" t="s">
        <v>467</v>
      </c>
      <c r="G607" s="14" t="s">
        <v>3397</v>
      </c>
      <c r="H607" s="1" t="s">
        <v>1099</v>
      </c>
      <c r="I607" s="22" t="s">
        <v>1117</v>
      </c>
      <c r="J607" s="1" t="s">
        <v>5200</v>
      </c>
    </row>
    <row r="608" spans="1:10" x14ac:dyDescent="0.25">
      <c r="A608" s="1" t="s">
        <v>5190</v>
      </c>
      <c r="B608" s="1" t="s">
        <v>5201</v>
      </c>
      <c r="C608" s="2">
        <v>44876</v>
      </c>
      <c r="D608" s="6">
        <v>78</v>
      </c>
      <c r="E608" s="6">
        <v>93.6</v>
      </c>
      <c r="F608" s="1" t="s">
        <v>470</v>
      </c>
      <c r="G608" s="14" t="s">
        <v>3399</v>
      </c>
      <c r="H608" s="1" t="s">
        <v>1101</v>
      </c>
      <c r="I608" s="22" t="s">
        <v>3400</v>
      </c>
      <c r="J608" s="1" t="s">
        <v>5202</v>
      </c>
    </row>
    <row r="609" spans="1:10" x14ac:dyDescent="0.25">
      <c r="A609" s="1" t="s">
        <v>5191</v>
      </c>
      <c r="B609" s="1" t="s">
        <v>5203</v>
      </c>
      <c r="C609" s="2">
        <v>44876</v>
      </c>
      <c r="D609" s="6"/>
      <c r="E609" s="6">
        <v>53.5</v>
      </c>
      <c r="F609" s="1" t="s">
        <v>4349</v>
      </c>
      <c r="G609" s="14" t="s">
        <v>4350</v>
      </c>
      <c r="H609" s="1"/>
      <c r="I609" s="22"/>
      <c r="J609" s="1" t="s">
        <v>5204</v>
      </c>
    </row>
    <row r="610" spans="1:10" x14ac:dyDescent="0.25">
      <c r="A610" s="1" t="s">
        <v>5205</v>
      </c>
      <c r="B610" s="1" t="s">
        <v>5217</v>
      </c>
      <c r="C610" s="2">
        <v>44879</v>
      </c>
      <c r="D610" s="6">
        <v>230.55</v>
      </c>
      <c r="E610" s="6">
        <v>276.66000000000003</v>
      </c>
      <c r="F610" s="1" t="s">
        <v>468</v>
      </c>
      <c r="G610" s="1" t="s">
        <v>3398</v>
      </c>
      <c r="H610" s="1" t="s">
        <v>1098</v>
      </c>
      <c r="I610" s="22" t="s">
        <v>1189</v>
      </c>
      <c r="J610" s="1" t="s">
        <v>3619</v>
      </c>
    </row>
    <row r="611" spans="1:10" x14ac:dyDescent="0.25">
      <c r="A611" s="1" t="s">
        <v>5206</v>
      </c>
      <c r="B611" s="1" t="s">
        <v>5215</v>
      </c>
      <c r="C611" s="2">
        <v>44879</v>
      </c>
      <c r="D611" s="6">
        <v>3956.45</v>
      </c>
      <c r="E611" s="6">
        <v>4747.74</v>
      </c>
      <c r="F611" s="1" t="s">
        <v>468</v>
      </c>
      <c r="G611" s="1" t="s">
        <v>3398</v>
      </c>
      <c r="H611" s="1" t="s">
        <v>1098</v>
      </c>
      <c r="I611" s="22" t="s">
        <v>1189</v>
      </c>
      <c r="J611" s="1" t="s">
        <v>5216</v>
      </c>
    </row>
    <row r="612" spans="1:10" x14ac:dyDescent="0.25">
      <c r="A612" s="1" t="s">
        <v>5207</v>
      </c>
      <c r="B612" s="1" t="s">
        <v>5214</v>
      </c>
      <c r="C612" s="2">
        <v>44879</v>
      </c>
      <c r="D612" s="6">
        <v>9.68</v>
      </c>
      <c r="E612" s="6">
        <v>11.62</v>
      </c>
      <c r="F612" s="1" t="s">
        <v>468</v>
      </c>
      <c r="G612" s="1" t="s">
        <v>3398</v>
      </c>
      <c r="H612" s="1" t="s">
        <v>1098</v>
      </c>
      <c r="I612" s="22" t="s">
        <v>1189</v>
      </c>
      <c r="J612" s="1" t="s">
        <v>4761</v>
      </c>
    </row>
    <row r="613" spans="1:10" x14ac:dyDescent="0.25">
      <c r="A613" s="1" t="s">
        <v>5208</v>
      </c>
      <c r="B613" s="1" t="s">
        <v>5212</v>
      </c>
      <c r="C613" s="2">
        <v>44879</v>
      </c>
      <c r="D613" s="6">
        <v>1062.78</v>
      </c>
      <c r="E613" s="6">
        <v>1275.3399999999999</v>
      </c>
      <c r="F613" s="1" t="s">
        <v>468</v>
      </c>
      <c r="G613" s="1" t="s">
        <v>3398</v>
      </c>
      <c r="H613" s="1" t="s">
        <v>1098</v>
      </c>
      <c r="I613" s="22" t="s">
        <v>1189</v>
      </c>
      <c r="J613" s="1" t="s">
        <v>5213</v>
      </c>
    </row>
    <row r="614" spans="1:10" x14ac:dyDescent="0.25">
      <c r="A614" s="1" t="s">
        <v>5209</v>
      </c>
      <c r="B614" s="1" t="s">
        <v>5210</v>
      </c>
      <c r="C614" s="2">
        <v>44879</v>
      </c>
      <c r="D614" s="6">
        <v>4555.41</v>
      </c>
      <c r="E614" s="6">
        <v>5466.49</v>
      </c>
      <c r="F614" s="1" t="s">
        <v>468</v>
      </c>
      <c r="G614" s="1" t="s">
        <v>3398</v>
      </c>
      <c r="H614" s="1" t="s">
        <v>1098</v>
      </c>
      <c r="I614" s="22" t="s">
        <v>1189</v>
      </c>
      <c r="J614" s="1" t="s">
        <v>5211</v>
      </c>
    </row>
    <row r="615" spans="1:10" x14ac:dyDescent="0.25">
      <c r="A615" s="1" t="s">
        <v>5218</v>
      </c>
      <c r="B615" s="1" t="s">
        <v>5226</v>
      </c>
      <c r="C615" s="2">
        <v>44880</v>
      </c>
      <c r="D615" s="6">
        <v>162.6</v>
      </c>
      <c r="E615" s="6">
        <v>195.12</v>
      </c>
      <c r="F615" s="1" t="s">
        <v>468</v>
      </c>
      <c r="G615" s="1" t="s">
        <v>3398</v>
      </c>
      <c r="H615" s="1" t="s">
        <v>1098</v>
      </c>
      <c r="I615" s="22" t="s">
        <v>1189</v>
      </c>
      <c r="J615" s="1" t="s">
        <v>5227</v>
      </c>
    </row>
    <row r="616" spans="1:10" x14ac:dyDescent="0.25">
      <c r="A616" s="1" t="s">
        <v>5219</v>
      </c>
      <c r="B616" s="1" t="s">
        <v>5242</v>
      </c>
      <c r="C616" s="2">
        <v>44881</v>
      </c>
      <c r="D616" s="6">
        <v>216.42</v>
      </c>
      <c r="E616" s="6">
        <v>259.7</v>
      </c>
      <c r="F616" s="1" t="s">
        <v>4516</v>
      </c>
      <c r="G616" s="14" t="s">
        <v>4517</v>
      </c>
      <c r="H616" s="1" t="s">
        <v>4518</v>
      </c>
      <c r="I616" s="22" t="s">
        <v>5243</v>
      </c>
      <c r="J616" s="1" t="s">
        <v>5244</v>
      </c>
    </row>
    <row r="617" spans="1:10" x14ac:dyDescent="0.25">
      <c r="A617" s="1" t="s">
        <v>5220</v>
      </c>
      <c r="B617" s="1" t="s">
        <v>5241</v>
      </c>
      <c r="C617" s="2">
        <v>44881</v>
      </c>
      <c r="D617" s="6">
        <v>10519.01</v>
      </c>
      <c r="E617" s="6">
        <v>18563.009999999998</v>
      </c>
      <c r="F617" s="1" t="s">
        <v>475</v>
      </c>
      <c r="G617" s="14" t="s">
        <v>3411</v>
      </c>
      <c r="H617" s="1" t="s">
        <v>1115</v>
      </c>
      <c r="I617" s="22" t="s">
        <v>3412</v>
      </c>
      <c r="J617" s="1" t="s">
        <v>5245</v>
      </c>
    </row>
    <row r="618" spans="1:10" x14ac:dyDescent="0.25">
      <c r="A618" s="1" t="s">
        <v>5221</v>
      </c>
      <c r="B618" s="1" t="s">
        <v>5238</v>
      </c>
      <c r="C618" s="2">
        <v>44881</v>
      </c>
      <c r="D618" s="6"/>
      <c r="E618" s="6">
        <v>180</v>
      </c>
      <c r="F618" s="1" t="s">
        <v>502</v>
      </c>
      <c r="G618" s="14" t="s">
        <v>3519</v>
      </c>
      <c r="H618" s="1" t="s">
        <v>1489</v>
      </c>
      <c r="I618" s="22" t="s">
        <v>5239</v>
      </c>
      <c r="J618" s="1" t="s">
        <v>5240</v>
      </c>
    </row>
    <row r="619" spans="1:10" x14ac:dyDescent="0.25">
      <c r="A619" s="1" t="s">
        <v>5222</v>
      </c>
      <c r="B619" s="1" t="s">
        <v>3455</v>
      </c>
      <c r="C619" s="2">
        <v>44881</v>
      </c>
      <c r="D619" s="6">
        <v>728</v>
      </c>
      <c r="E619" s="6">
        <v>873.6</v>
      </c>
      <c r="F619" s="1" t="s">
        <v>2597</v>
      </c>
      <c r="G619" s="14" t="s">
        <v>3401</v>
      </c>
      <c r="H619" s="1" t="s">
        <v>2598</v>
      </c>
      <c r="I619" s="22" t="s">
        <v>5163</v>
      </c>
      <c r="J619" s="1" t="s">
        <v>5237</v>
      </c>
    </row>
    <row r="620" spans="1:10" x14ac:dyDescent="0.25">
      <c r="A620" s="1" t="s">
        <v>5223</v>
      </c>
      <c r="B620" s="1" t="s">
        <v>5234</v>
      </c>
      <c r="C620" s="2">
        <v>44881</v>
      </c>
      <c r="D620" s="6">
        <v>105.5</v>
      </c>
      <c r="E620" s="6">
        <v>126.6</v>
      </c>
      <c r="F620" s="1" t="s">
        <v>472</v>
      </c>
      <c r="G620" s="14" t="s">
        <v>3415</v>
      </c>
      <c r="H620" s="1" t="s">
        <v>1151</v>
      </c>
      <c r="I620" s="22" t="s">
        <v>5235</v>
      </c>
      <c r="J620" s="1" t="s">
        <v>5236</v>
      </c>
    </row>
    <row r="621" spans="1:10" x14ac:dyDescent="0.25">
      <c r="A621" s="1" t="s">
        <v>5224</v>
      </c>
      <c r="B621" s="1" t="s">
        <v>5231</v>
      </c>
      <c r="C621" s="2">
        <v>44881</v>
      </c>
      <c r="D621" s="6">
        <v>333.33</v>
      </c>
      <c r="E621" s="6">
        <v>400</v>
      </c>
      <c r="F621" s="1" t="s">
        <v>5167</v>
      </c>
      <c r="G621" s="14" t="s">
        <v>5168</v>
      </c>
      <c r="H621" s="1" t="s">
        <v>5169</v>
      </c>
      <c r="I621" s="22" t="s">
        <v>5232</v>
      </c>
      <c r="J621" s="1" t="s">
        <v>5233</v>
      </c>
    </row>
    <row r="622" spans="1:10" x14ac:dyDescent="0.25">
      <c r="A622" s="1" t="s">
        <v>5225</v>
      </c>
      <c r="B622" s="1" t="s">
        <v>5228</v>
      </c>
      <c r="C622" s="2">
        <v>44881</v>
      </c>
      <c r="D622" s="6">
        <v>261.67</v>
      </c>
      <c r="E622" s="6">
        <v>314</v>
      </c>
      <c r="F622" s="1" t="s">
        <v>3472</v>
      </c>
      <c r="G622" s="14" t="s">
        <v>3473</v>
      </c>
      <c r="H622" s="1" t="s">
        <v>1155</v>
      </c>
      <c r="I622" s="22" t="s">
        <v>5229</v>
      </c>
      <c r="J622" s="1" t="s">
        <v>5230</v>
      </c>
    </row>
    <row r="623" spans="1:10" x14ac:dyDescent="0.25">
      <c r="A623" s="1" t="s">
        <v>5246</v>
      </c>
      <c r="B623" s="1" t="s">
        <v>5265</v>
      </c>
      <c r="C623" s="2">
        <v>44886</v>
      </c>
      <c r="D623" s="6">
        <v>-212.89</v>
      </c>
      <c r="E623" s="6">
        <v>-255.47</v>
      </c>
      <c r="F623" s="1" t="s">
        <v>4531</v>
      </c>
      <c r="G623" s="14" t="s">
        <v>4532</v>
      </c>
      <c r="H623" s="1" t="s">
        <v>1107</v>
      </c>
      <c r="I623" s="22" t="s">
        <v>3410</v>
      </c>
      <c r="J623" s="1" t="s">
        <v>2414</v>
      </c>
    </row>
    <row r="624" spans="1:10" x14ac:dyDescent="0.25">
      <c r="A624" s="1" t="s">
        <v>5247</v>
      </c>
      <c r="B624" s="1" t="s">
        <v>5262</v>
      </c>
      <c r="C624" s="2">
        <v>44886</v>
      </c>
      <c r="D624" s="6">
        <v>4985.05</v>
      </c>
      <c r="E624" s="6">
        <v>5982.06</v>
      </c>
      <c r="F624" s="1" t="s">
        <v>4981</v>
      </c>
      <c r="G624" s="14" t="s">
        <v>4982</v>
      </c>
      <c r="H624" s="1" t="s">
        <v>4983</v>
      </c>
      <c r="I624" s="22" t="s">
        <v>5263</v>
      </c>
      <c r="J624" s="1" t="s">
        <v>5264</v>
      </c>
    </row>
    <row r="625" spans="1:10" x14ac:dyDescent="0.25">
      <c r="A625" s="1" t="s">
        <v>5248</v>
      </c>
      <c r="B625" s="1" t="s">
        <v>5257</v>
      </c>
      <c r="C625" s="2">
        <v>44886</v>
      </c>
      <c r="D625" s="6">
        <v>138</v>
      </c>
      <c r="E625" s="6">
        <v>165.6</v>
      </c>
      <c r="F625" s="1" t="s">
        <v>472</v>
      </c>
      <c r="G625" s="14" t="s">
        <v>3415</v>
      </c>
      <c r="H625" s="1" t="s">
        <v>1151</v>
      </c>
      <c r="I625" s="22" t="s">
        <v>5235</v>
      </c>
      <c r="J625" s="1" t="s">
        <v>5258</v>
      </c>
    </row>
    <row r="626" spans="1:10" x14ac:dyDescent="0.25">
      <c r="A626" s="1" t="s">
        <v>5249</v>
      </c>
      <c r="B626" s="1" t="s">
        <v>5337</v>
      </c>
      <c r="C626" s="2">
        <v>44886</v>
      </c>
      <c r="D626" s="6">
        <v>107.8</v>
      </c>
      <c r="E626" s="6">
        <v>129.36000000000001</v>
      </c>
      <c r="F626" s="1" t="s">
        <v>470</v>
      </c>
      <c r="G626" s="14" t="s">
        <v>3399</v>
      </c>
      <c r="H626" s="1" t="s">
        <v>1101</v>
      </c>
      <c r="I626" s="22" t="s">
        <v>3400</v>
      </c>
      <c r="J626" s="1" t="s">
        <v>4654</v>
      </c>
    </row>
    <row r="627" spans="1:10" x14ac:dyDescent="0.25">
      <c r="A627" s="1" t="s">
        <v>5250</v>
      </c>
      <c r="B627" s="1" t="s">
        <v>5259</v>
      </c>
      <c r="C627" s="2">
        <v>44886</v>
      </c>
      <c r="D627" s="6"/>
      <c r="E627" s="6">
        <v>41</v>
      </c>
      <c r="F627" s="1" t="s">
        <v>469</v>
      </c>
      <c r="G627" s="14" t="s">
        <v>3407</v>
      </c>
      <c r="H627" s="1"/>
      <c r="I627" s="22"/>
      <c r="J627" s="1" t="s">
        <v>5131</v>
      </c>
    </row>
    <row r="628" spans="1:10" x14ac:dyDescent="0.25">
      <c r="A628" s="1" t="s">
        <v>5251</v>
      </c>
      <c r="B628" s="1" t="s">
        <v>5260</v>
      </c>
      <c r="C628" s="2">
        <v>44886</v>
      </c>
      <c r="D628" s="6">
        <v>3119.02</v>
      </c>
      <c r="E628" s="6">
        <v>3742.82</v>
      </c>
      <c r="F628" s="1" t="s">
        <v>468</v>
      </c>
      <c r="G628" s="1" t="s">
        <v>3398</v>
      </c>
      <c r="H628" s="1" t="s">
        <v>1098</v>
      </c>
      <c r="I628" s="22" t="s">
        <v>1189</v>
      </c>
      <c r="J628" s="1" t="s">
        <v>5261</v>
      </c>
    </row>
    <row r="629" spans="1:10" x14ac:dyDescent="0.25">
      <c r="A629" s="1" t="s">
        <v>5252</v>
      </c>
      <c r="B629" s="1" t="s">
        <v>5348</v>
      </c>
      <c r="C629" s="2">
        <v>44886</v>
      </c>
      <c r="D629" s="6">
        <v>828</v>
      </c>
      <c r="E629" s="6">
        <v>993.6</v>
      </c>
      <c r="F629" s="1" t="s">
        <v>470</v>
      </c>
      <c r="G629" s="14" t="s">
        <v>3399</v>
      </c>
      <c r="H629" s="1" t="s">
        <v>1101</v>
      </c>
      <c r="I629" s="22" t="s">
        <v>5349</v>
      </c>
      <c r="J629" s="1" t="s">
        <v>1445</v>
      </c>
    </row>
    <row r="630" spans="1:10" x14ac:dyDescent="0.25">
      <c r="A630" s="1" t="s">
        <v>5253</v>
      </c>
      <c r="B630" s="1" t="s">
        <v>5345</v>
      </c>
      <c r="C630" s="2">
        <v>44886</v>
      </c>
      <c r="D630" s="6">
        <v>1449</v>
      </c>
      <c r="E630" s="6">
        <v>1738.8</v>
      </c>
      <c r="F630" s="1" t="s">
        <v>470</v>
      </c>
      <c r="G630" s="14" t="s">
        <v>3399</v>
      </c>
      <c r="H630" s="1" t="s">
        <v>1101</v>
      </c>
      <c r="I630" s="22" t="s">
        <v>5346</v>
      </c>
      <c r="J630" s="1" t="s">
        <v>5347</v>
      </c>
    </row>
    <row r="631" spans="1:10" x14ac:dyDescent="0.25">
      <c r="A631" s="1" t="s">
        <v>5254</v>
      </c>
      <c r="B631" s="1" t="s">
        <v>5343</v>
      </c>
      <c r="C631" s="2">
        <v>44886</v>
      </c>
      <c r="D631" s="6">
        <v>1116</v>
      </c>
      <c r="E631" s="6">
        <v>1339.2</v>
      </c>
      <c r="F631" s="1" t="s">
        <v>470</v>
      </c>
      <c r="G631" s="14" t="s">
        <v>3399</v>
      </c>
      <c r="H631" s="1" t="s">
        <v>1101</v>
      </c>
      <c r="I631" s="22" t="s">
        <v>5344</v>
      </c>
      <c r="J631" s="1" t="s">
        <v>1480</v>
      </c>
    </row>
    <row r="632" spans="1:10" x14ac:dyDescent="0.25">
      <c r="A632" s="1" t="s">
        <v>5255</v>
      </c>
      <c r="B632" s="1" t="s">
        <v>5341</v>
      </c>
      <c r="C632" s="2">
        <v>44886</v>
      </c>
      <c r="D632" s="6">
        <v>1116</v>
      </c>
      <c r="E632" s="6">
        <v>1339.2</v>
      </c>
      <c r="F632" s="1" t="s">
        <v>470</v>
      </c>
      <c r="G632" s="14" t="s">
        <v>3399</v>
      </c>
      <c r="H632" s="1" t="s">
        <v>1101</v>
      </c>
      <c r="I632" s="22" t="s">
        <v>5342</v>
      </c>
      <c r="J632" s="1" t="s">
        <v>1446</v>
      </c>
    </row>
    <row r="633" spans="1:10" x14ac:dyDescent="0.25">
      <c r="A633" s="1" t="s">
        <v>5256</v>
      </c>
      <c r="B633" s="1" t="s">
        <v>5338</v>
      </c>
      <c r="C633" s="2">
        <v>44886</v>
      </c>
      <c r="D633" s="6">
        <v>1449</v>
      </c>
      <c r="E633" s="6">
        <v>1738.8</v>
      </c>
      <c r="F633" s="1" t="s">
        <v>470</v>
      </c>
      <c r="G633" s="14" t="s">
        <v>3399</v>
      </c>
      <c r="H633" s="1" t="s">
        <v>1101</v>
      </c>
      <c r="I633" s="22" t="s">
        <v>5339</v>
      </c>
      <c r="J633" s="1" t="s">
        <v>5340</v>
      </c>
    </row>
    <row r="634" spans="1:10" x14ac:dyDescent="0.25">
      <c r="A634" s="1" t="s">
        <v>5266</v>
      </c>
      <c r="B634" s="1" t="s">
        <v>5332</v>
      </c>
      <c r="C634" s="2">
        <v>44886</v>
      </c>
      <c r="D634" s="6">
        <v>828</v>
      </c>
      <c r="E634" s="6">
        <v>993.6</v>
      </c>
      <c r="F634" s="1" t="s">
        <v>470</v>
      </c>
      <c r="G634" s="14" t="s">
        <v>3399</v>
      </c>
      <c r="H634" s="1" t="s">
        <v>1101</v>
      </c>
      <c r="I634" s="22" t="s">
        <v>5333</v>
      </c>
      <c r="J634" s="1" t="s">
        <v>1362</v>
      </c>
    </row>
    <row r="635" spans="1:10" x14ac:dyDescent="0.25">
      <c r="A635" s="1" t="s">
        <v>5267</v>
      </c>
      <c r="B635" s="1" t="s">
        <v>5334</v>
      </c>
      <c r="C635" s="2">
        <v>44886</v>
      </c>
      <c r="D635" s="6">
        <v>349</v>
      </c>
      <c r="E635" s="6">
        <v>418.8</v>
      </c>
      <c r="F635" s="1" t="s">
        <v>470</v>
      </c>
      <c r="G635" s="14" t="s">
        <v>3399</v>
      </c>
      <c r="H635" s="1" t="s">
        <v>1101</v>
      </c>
      <c r="I635" s="22" t="s">
        <v>5335</v>
      </c>
      <c r="J635" s="1" t="s">
        <v>5336</v>
      </c>
    </row>
    <row r="636" spans="1:10" x14ac:dyDescent="0.25">
      <c r="A636" s="1" t="s">
        <v>5268</v>
      </c>
      <c r="B636" s="1" t="s">
        <v>5279</v>
      </c>
      <c r="C636" s="2">
        <v>44886</v>
      </c>
      <c r="D636" s="6"/>
      <c r="E636" s="6">
        <v>200</v>
      </c>
      <c r="F636" s="1" t="s">
        <v>3450</v>
      </c>
      <c r="G636" s="14" t="s">
        <v>3452</v>
      </c>
      <c r="H636" s="1" t="s">
        <v>1701</v>
      </c>
      <c r="I636" s="22"/>
      <c r="J636" s="1" t="s">
        <v>5280</v>
      </c>
    </row>
    <row r="637" spans="1:10" x14ac:dyDescent="0.25">
      <c r="A637" s="1" t="s">
        <v>5269</v>
      </c>
      <c r="B637" s="1" t="s">
        <v>5350</v>
      </c>
      <c r="C637" s="2">
        <v>44886</v>
      </c>
      <c r="D637" s="6">
        <v>473.4</v>
      </c>
      <c r="E637" s="6">
        <v>568.08000000000004</v>
      </c>
      <c r="F637" s="1" t="s">
        <v>468</v>
      </c>
      <c r="G637" s="1" t="s">
        <v>3398</v>
      </c>
      <c r="H637" s="1" t="s">
        <v>1098</v>
      </c>
      <c r="I637" s="22" t="s">
        <v>1189</v>
      </c>
      <c r="J637" s="1" t="s">
        <v>5351</v>
      </c>
    </row>
    <row r="638" spans="1:10" x14ac:dyDescent="0.25">
      <c r="A638" s="1" t="s">
        <v>5270</v>
      </c>
      <c r="B638" s="1" t="s">
        <v>5352</v>
      </c>
      <c r="C638" s="2">
        <v>44887</v>
      </c>
      <c r="D638" s="6">
        <v>3430</v>
      </c>
      <c r="E638" s="6">
        <v>4116</v>
      </c>
      <c r="F638" s="1" t="s">
        <v>468</v>
      </c>
      <c r="G638" s="1" t="s">
        <v>3398</v>
      </c>
      <c r="H638" s="1" t="s">
        <v>1098</v>
      </c>
      <c r="I638" s="22" t="s">
        <v>1189</v>
      </c>
      <c r="J638" s="1" t="s">
        <v>5353</v>
      </c>
    </row>
    <row r="639" spans="1:10" x14ac:dyDescent="0.25">
      <c r="A639" s="1" t="s">
        <v>5271</v>
      </c>
      <c r="B639" s="1" t="s">
        <v>5285</v>
      </c>
      <c r="C639" s="2">
        <v>44887</v>
      </c>
      <c r="D639" s="6">
        <v>-3.33</v>
      </c>
      <c r="E639" s="6">
        <v>-4</v>
      </c>
      <c r="F639" s="1" t="s">
        <v>468</v>
      </c>
      <c r="G639" s="1" t="s">
        <v>3398</v>
      </c>
      <c r="H639" s="1" t="s">
        <v>1098</v>
      </c>
      <c r="I639" s="22" t="s">
        <v>1189</v>
      </c>
      <c r="J639" s="1" t="s">
        <v>5286</v>
      </c>
    </row>
    <row r="640" spans="1:10" x14ac:dyDescent="0.25">
      <c r="A640" s="1" t="s">
        <v>5272</v>
      </c>
      <c r="B640" s="1" t="s">
        <v>5287</v>
      </c>
      <c r="C640" s="2">
        <v>44887</v>
      </c>
      <c r="D640" s="6">
        <v>-10.8</v>
      </c>
      <c r="E640" s="6">
        <v>-12.96</v>
      </c>
      <c r="F640" s="1" t="s">
        <v>468</v>
      </c>
      <c r="G640" s="1" t="s">
        <v>3398</v>
      </c>
      <c r="H640" s="1" t="s">
        <v>1098</v>
      </c>
      <c r="I640" s="22" t="s">
        <v>1189</v>
      </c>
      <c r="J640" s="1" t="s">
        <v>4761</v>
      </c>
    </row>
    <row r="641" spans="1:10" x14ac:dyDescent="0.25">
      <c r="A641" s="1" t="s">
        <v>5273</v>
      </c>
      <c r="B641" s="1" t="s">
        <v>5288</v>
      </c>
      <c r="C641" s="2">
        <v>44887</v>
      </c>
      <c r="D641" s="6">
        <v>1708.33</v>
      </c>
      <c r="E641" s="6">
        <v>2050</v>
      </c>
      <c r="F641" s="1" t="s">
        <v>5289</v>
      </c>
      <c r="G641" s="14" t="s">
        <v>5290</v>
      </c>
      <c r="H641" s="1" t="s">
        <v>5291</v>
      </c>
      <c r="I641" s="22" t="s">
        <v>5292</v>
      </c>
      <c r="J641" s="1" t="s">
        <v>5293</v>
      </c>
    </row>
    <row r="642" spans="1:10" x14ac:dyDescent="0.25">
      <c r="A642" s="1" t="s">
        <v>5274</v>
      </c>
      <c r="B642" s="1" t="s">
        <v>5281</v>
      </c>
      <c r="C642" s="2">
        <v>44888</v>
      </c>
      <c r="D642" s="6"/>
      <c r="E642" s="6">
        <v>49.5</v>
      </c>
      <c r="F642" s="1" t="s">
        <v>469</v>
      </c>
      <c r="G642" s="14" t="s">
        <v>3407</v>
      </c>
      <c r="H642" s="1"/>
      <c r="I642" s="22"/>
      <c r="J642" s="1" t="s">
        <v>5282</v>
      </c>
    </row>
    <row r="643" spans="1:10" x14ac:dyDescent="0.25">
      <c r="A643" s="1" t="s">
        <v>5275</v>
      </c>
      <c r="B643" s="1" t="s">
        <v>5283</v>
      </c>
      <c r="C643" s="2">
        <v>44888</v>
      </c>
      <c r="D643" s="6"/>
      <c r="E643" s="6">
        <v>53.5</v>
      </c>
      <c r="F643" s="1" t="s">
        <v>469</v>
      </c>
      <c r="G643" s="14" t="s">
        <v>3407</v>
      </c>
      <c r="H643" s="1"/>
      <c r="I643" s="22"/>
      <c r="J643" s="1" t="s">
        <v>5284</v>
      </c>
    </row>
    <row r="644" spans="1:10" x14ac:dyDescent="0.25">
      <c r="A644" s="1" t="s">
        <v>5276</v>
      </c>
      <c r="B644" s="1" t="s">
        <v>5294</v>
      </c>
      <c r="C644" s="2">
        <v>44888</v>
      </c>
      <c r="D644" s="6"/>
      <c r="E644" s="6">
        <v>88.5</v>
      </c>
      <c r="F644" s="1" t="s">
        <v>469</v>
      </c>
      <c r="G644" s="14" t="s">
        <v>3407</v>
      </c>
      <c r="H644" s="1"/>
      <c r="I644" s="22"/>
      <c r="J644" s="1" t="s">
        <v>5295</v>
      </c>
    </row>
    <row r="645" spans="1:10" x14ac:dyDescent="0.25">
      <c r="A645" s="1" t="s">
        <v>5277</v>
      </c>
      <c r="B645" s="1" t="s">
        <v>5297</v>
      </c>
      <c r="C645" s="2">
        <v>44888</v>
      </c>
      <c r="D645" s="6"/>
      <c r="E645" s="6">
        <v>49.5</v>
      </c>
      <c r="F645" s="1" t="s">
        <v>469</v>
      </c>
      <c r="G645" s="14" t="s">
        <v>3407</v>
      </c>
      <c r="H645" s="1"/>
      <c r="I645" s="22"/>
      <c r="J645" s="1" t="s">
        <v>5296</v>
      </c>
    </row>
    <row r="646" spans="1:10" x14ac:dyDescent="0.25">
      <c r="A646" s="1" t="s">
        <v>5278</v>
      </c>
      <c r="B646" s="1" t="s">
        <v>5301</v>
      </c>
      <c r="C646" s="2">
        <v>44888</v>
      </c>
      <c r="D646" s="6">
        <v>300</v>
      </c>
      <c r="E646" s="6">
        <v>330</v>
      </c>
      <c r="F646" s="1" t="s">
        <v>4763</v>
      </c>
      <c r="G646" s="14" t="s">
        <v>4764</v>
      </c>
      <c r="H646" s="1" t="s">
        <v>4765</v>
      </c>
      <c r="I646" s="22" t="s">
        <v>4766</v>
      </c>
      <c r="J646" s="1" t="s">
        <v>5302</v>
      </c>
    </row>
    <row r="647" spans="1:10" x14ac:dyDescent="0.25">
      <c r="A647" s="1" t="s">
        <v>5298</v>
      </c>
      <c r="B647" s="1" t="s">
        <v>5303</v>
      </c>
      <c r="C647" s="2">
        <v>44889</v>
      </c>
      <c r="D647" s="6">
        <v>1997.3</v>
      </c>
      <c r="E647" s="6">
        <v>2396.7600000000002</v>
      </c>
      <c r="F647" s="1" t="s">
        <v>5116</v>
      </c>
      <c r="G647" s="14" t="s">
        <v>5117</v>
      </c>
      <c r="H647" s="1" t="s">
        <v>5118</v>
      </c>
      <c r="I647" s="22" t="s">
        <v>5304</v>
      </c>
      <c r="J647" s="1" t="s">
        <v>5305</v>
      </c>
    </row>
    <row r="648" spans="1:10" x14ac:dyDescent="0.25">
      <c r="A648" s="1" t="s">
        <v>5299</v>
      </c>
      <c r="B648" s="1" t="s">
        <v>5306</v>
      </c>
      <c r="C648" s="2">
        <v>44889</v>
      </c>
      <c r="D648" s="6">
        <v>66</v>
      </c>
      <c r="E648" s="6">
        <v>79.2</v>
      </c>
      <c r="F648" s="1" t="s">
        <v>4516</v>
      </c>
      <c r="G648" s="14" t="s">
        <v>4517</v>
      </c>
      <c r="H648" s="1" t="s">
        <v>4518</v>
      </c>
      <c r="I648" s="22" t="s">
        <v>5307</v>
      </c>
      <c r="J648" s="1" t="s">
        <v>5308</v>
      </c>
    </row>
    <row r="649" spans="1:10" x14ac:dyDescent="0.25">
      <c r="A649" s="1" t="s">
        <v>5300</v>
      </c>
      <c r="B649" s="1" t="s">
        <v>3538</v>
      </c>
      <c r="C649" s="2">
        <v>44889</v>
      </c>
      <c r="D649" s="6">
        <v>515.33000000000004</v>
      </c>
      <c r="E649" s="6">
        <v>618.4</v>
      </c>
      <c r="F649" s="1" t="s">
        <v>5309</v>
      </c>
      <c r="G649" s="14" t="s">
        <v>5310</v>
      </c>
      <c r="H649" s="1" t="s">
        <v>5311</v>
      </c>
      <c r="I649" s="22" t="s">
        <v>5312</v>
      </c>
      <c r="J649" s="1" t="s">
        <v>5313</v>
      </c>
    </row>
    <row r="650" spans="1:10" x14ac:dyDescent="0.25">
      <c r="A650" s="1" t="s">
        <v>5314</v>
      </c>
      <c r="B650" s="1" t="s">
        <v>5367</v>
      </c>
      <c r="C650" s="2">
        <v>44889</v>
      </c>
      <c r="D650" s="6">
        <v>416.42</v>
      </c>
      <c r="E650" s="6">
        <v>499.7</v>
      </c>
      <c r="F650" s="1" t="s">
        <v>2374</v>
      </c>
      <c r="G650" s="14" t="s">
        <v>3693</v>
      </c>
      <c r="H650" s="1" t="s">
        <v>2375</v>
      </c>
      <c r="I650" s="22" t="s">
        <v>5368</v>
      </c>
      <c r="J650" s="1" t="s">
        <v>5369</v>
      </c>
    </row>
    <row r="651" spans="1:10" x14ac:dyDescent="0.25">
      <c r="A651" s="1" t="s">
        <v>5315</v>
      </c>
      <c r="B651" s="1" t="s">
        <v>5364</v>
      </c>
      <c r="C651" s="2">
        <v>44889</v>
      </c>
      <c r="D651" s="6">
        <v>127.5</v>
      </c>
      <c r="E651" s="6">
        <v>153</v>
      </c>
      <c r="F651" s="1" t="s">
        <v>2374</v>
      </c>
      <c r="G651" s="14" t="s">
        <v>3693</v>
      </c>
      <c r="H651" s="1" t="s">
        <v>2375</v>
      </c>
      <c r="I651" s="22" t="s">
        <v>5365</v>
      </c>
      <c r="J651" s="1" t="s">
        <v>5366</v>
      </c>
    </row>
    <row r="652" spans="1:10" x14ac:dyDescent="0.25">
      <c r="A652" s="1" t="s">
        <v>5316</v>
      </c>
      <c r="B652" s="1" t="s">
        <v>5361</v>
      </c>
      <c r="C652" s="2">
        <v>44889</v>
      </c>
      <c r="D652" s="6">
        <v>329.32</v>
      </c>
      <c r="E652" s="6">
        <v>395.18</v>
      </c>
      <c r="F652" s="1" t="s">
        <v>2374</v>
      </c>
      <c r="G652" s="14" t="s">
        <v>3693</v>
      </c>
      <c r="H652" s="1" t="s">
        <v>2375</v>
      </c>
      <c r="I652" s="22" t="s">
        <v>5362</v>
      </c>
      <c r="J652" s="1" t="s">
        <v>5363</v>
      </c>
    </row>
    <row r="653" spans="1:10" x14ac:dyDescent="0.25">
      <c r="A653" s="1" t="s">
        <v>5317</v>
      </c>
      <c r="B653" s="1" t="s">
        <v>5358</v>
      </c>
      <c r="C653" s="2">
        <v>44889</v>
      </c>
      <c r="D653" s="6">
        <v>323.5</v>
      </c>
      <c r="E653" s="6">
        <v>388.2</v>
      </c>
      <c r="F653" s="1" t="s">
        <v>2374</v>
      </c>
      <c r="G653" s="14" t="s">
        <v>3693</v>
      </c>
      <c r="H653" s="1" t="s">
        <v>2375</v>
      </c>
      <c r="I653" s="22" t="s">
        <v>5359</v>
      </c>
      <c r="J653" s="1" t="s">
        <v>5360</v>
      </c>
    </row>
    <row r="654" spans="1:10" x14ac:dyDescent="0.25">
      <c r="A654" s="1" t="s">
        <v>5318</v>
      </c>
      <c r="B654" s="1" t="s">
        <v>5355</v>
      </c>
      <c r="C654" s="2">
        <v>44889</v>
      </c>
      <c r="D654" s="6">
        <v>404.82</v>
      </c>
      <c r="E654" s="6">
        <v>485.78</v>
      </c>
      <c r="F654" s="1" t="s">
        <v>2374</v>
      </c>
      <c r="G654" s="14" t="s">
        <v>3693</v>
      </c>
      <c r="H654" s="1" t="s">
        <v>2375</v>
      </c>
      <c r="I654" s="22" t="s">
        <v>5356</v>
      </c>
      <c r="J654" s="1" t="s">
        <v>5357</v>
      </c>
    </row>
    <row r="655" spans="1:10" x14ac:dyDescent="0.25">
      <c r="A655" s="1" t="s">
        <v>5319</v>
      </c>
      <c r="B655" s="1" t="s">
        <v>5330</v>
      </c>
      <c r="C655" s="2">
        <v>44889</v>
      </c>
      <c r="D655" s="6">
        <v>1039</v>
      </c>
      <c r="E655" s="6">
        <v>1246.8</v>
      </c>
      <c r="F655" s="1" t="s">
        <v>470</v>
      </c>
      <c r="G655" s="14" t="s">
        <v>3399</v>
      </c>
      <c r="H655" s="1" t="s">
        <v>1101</v>
      </c>
      <c r="I655" s="22" t="s">
        <v>5331</v>
      </c>
      <c r="J655" s="1" t="s">
        <v>1766</v>
      </c>
    </row>
    <row r="656" spans="1:10" x14ac:dyDescent="0.25">
      <c r="A656" s="1" t="s">
        <v>5320</v>
      </c>
      <c r="B656" s="1" t="s">
        <v>5327</v>
      </c>
      <c r="C656" s="2">
        <v>44889</v>
      </c>
      <c r="D656" s="6">
        <v>828</v>
      </c>
      <c r="E656" s="6">
        <v>993.6</v>
      </c>
      <c r="F656" s="1" t="s">
        <v>470</v>
      </c>
      <c r="G656" s="14" t="s">
        <v>3399</v>
      </c>
      <c r="H656" s="1" t="s">
        <v>1101</v>
      </c>
      <c r="I656" s="22" t="s">
        <v>5328</v>
      </c>
      <c r="J656" s="1" t="s">
        <v>5329</v>
      </c>
    </row>
    <row r="657" spans="1:10" x14ac:dyDescent="0.25">
      <c r="A657" s="1" t="s">
        <v>5321</v>
      </c>
      <c r="B657" s="1" t="s">
        <v>5325</v>
      </c>
      <c r="C657" s="2">
        <v>44889</v>
      </c>
      <c r="D657" s="6">
        <v>1116</v>
      </c>
      <c r="E657" s="6">
        <v>1339.2</v>
      </c>
      <c r="F657" s="1" t="s">
        <v>470</v>
      </c>
      <c r="G657" s="14" t="s">
        <v>3399</v>
      </c>
      <c r="H657" s="1" t="s">
        <v>1101</v>
      </c>
      <c r="I657" s="22" t="s">
        <v>5326</v>
      </c>
      <c r="J657" s="1" t="s">
        <v>4979</v>
      </c>
    </row>
    <row r="658" spans="1:10" x14ac:dyDescent="0.25">
      <c r="A658" s="1" t="s">
        <v>5322</v>
      </c>
      <c r="B658" s="1" t="s">
        <v>5323</v>
      </c>
      <c r="C658" s="2">
        <v>44889</v>
      </c>
      <c r="D658" s="6">
        <v>1116</v>
      </c>
      <c r="E658" s="6">
        <v>1339.2</v>
      </c>
      <c r="F658" s="1" t="s">
        <v>470</v>
      </c>
      <c r="G658" s="14" t="s">
        <v>3399</v>
      </c>
      <c r="H658" s="1" t="s">
        <v>1101</v>
      </c>
      <c r="I658" s="22" t="s">
        <v>5324</v>
      </c>
      <c r="J658" s="1" t="s">
        <v>1371</v>
      </c>
    </row>
    <row r="659" spans="1:10" x14ac:dyDescent="0.25">
      <c r="A659" s="1" t="s">
        <v>5354</v>
      </c>
      <c r="B659" s="1" t="s">
        <v>5370</v>
      </c>
      <c r="C659" s="2">
        <v>44889</v>
      </c>
      <c r="D659" s="6">
        <v>156</v>
      </c>
      <c r="E659" s="6">
        <v>187.2</v>
      </c>
      <c r="F659" s="1" t="s">
        <v>470</v>
      </c>
      <c r="G659" s="14" t="s">
        <v>3399</v>
      </c>
      <c r="H659" s="1" t="s">
        <v>1101</v>
      </c>
      <c r="I659" s="22" t="s">
        <v>3400</v>
      </c>
      <c r="J659" s="1" t="s">
        <v>5371</v>
      </c>
    </row>
    <row r="660" spans="1:10" x14ac:dyDescent="0.25">
      <c r="A660" s="1" t="s">
        <v>5372</v>
      </c>
      <c r="B660" s="1" t="s">
        <v>5396</v>
      </c>
      <c r="C660" s="2">
        <v>44894</v>
      </c>
      <c r="D660" s="6">
        <v>46</v>
      </c>
      <c r="E660" s="6">
        <v>55.2</v>
      </c>
      <c r="F660" s="1" t="s">
        <v>4516</v>
      </c>
      <c r="G660" s="14" t="s">
        <v>4517</v>
      </c>
      <c r="H660" s="1" t="s">
        <v>4518</v>
      </c>
      <c r="I660" s="22" t="s">
        <v>5397</v>
      </c>
      <c r="J660" s="1" t="s">
        <v>5398</v>
      </c>
    </row>
    <row r="661" spans="1:10" x14ac:dyDescent="0.25">
      <c r="A661" s="1" t="s">
        <v>5373</v>
      </c>
      <c r="B661" s="1" t="s">
        <v>5393</v>
      </c>
      <c r="C661" s="2">
        <v>44894</v>
      </c>
      <c r="D661" s="6">
        <v>500.25</v>
      </c>
      <c r="E661" s="6">
        <v>600.29999999999995</v>
      </c>
      <c r="F661" s="1" t="s">
        <v>4516</v>
      </c>
      <c r="G661" s="14" t="s">
        <v>4517</v>
      </c>
      <c r="H661" s="1" t="s">
        <v>4518</v>
      </c>
      <c r="I661" s="22" t="s">
        <v>5394</v>
      </c>
      <c r="J661" s="1" t="s">
        <v>5395</v>
      </c>
    </row>
    <row r="662" spans="1:10" x14ac:dyDescent="0.25">
      <c r="A662" s="1" t="s">
        <v>5374</v>
      </c>
      <c r="B662" s="1" t="s">
        <v>5391</v>
      </c>
      <c r="C662" s="2">
        <v>44894</v>
      </c>
      <c r="D662" s="6">
        <v>52.9</v>
      </c>
      <c r="E662" s="6">
        <v>63.48</v>
      </c>
      <c r="F662" s="1" t="s">
        <v>470</v>
      </c>
      <c r="G662" s="14" t="s">
        <v>3399</v>
      </c>
      <c r="H662" s="1" t="s">
        <v>1101</v>
      </c>
      <c r="I662" s="22" t="s">
        <v>3400</v>
      </c>
      <c r="J662" s="1" t="s">
        <v>5392</v>
      </c>
    </row>
    <row r="663" spans="1:10" x14ac:dyDescent="0.25">
      <c r="A663" s="1" t="s">
        <v>5375</v>
      </c>
      <c r="B663" s="1" t="s">
        <v>5385</v>
      </c>
      <c r="C663" s="2">
        <v>44894</v>
      </c>
      <c r="D663" s="6"/>
      <c r="E663" s="6">
        <v>466.6</v>
      </c>
      <c r="F663" s="1" t="s">
        <v>5386</v>
      </c>
      <c r="G663" s="14" t="s">
        <v>5387</v>
      </c>
      <c r="H663" s="1" t="s">
        <v>5388</v>
      </c>
      <c r="I663" s="22" t="s">
        <v>5389</v>
      </c>
      <c r="J663" s="1" t="s">
        <v>5390</v>
      </c>
    </row>
    <row r="664" spans="1:10" x14ac:dyDescent="0.25">
      <c r="A664" s="1" t="s">
        <v>5376</v>
      </c>
      <c r="B664" s="1" t="s">
        <v>5383</v>
      </c>
      <c r="C664" s="2">
        <v>44894</v>
      </c>
      <c r="D664" s="6">
        <v>642.79999999999995</v>
      </c>
      <c r="E664" s="6">
        <v>771.36</v>
      </c>
      <c r="F664" s="1" t="s">
        <v>470</v>
      </c>
      <c r="G664" s="14" t="s">
        <v>3399</v>
      </c>
      <c r="H664" s="1" t="s">
        <v>1101</v>
      </c>
      <c r="I664" s="22" t="s">
        <v>3400</v>
      </c>
      <c r="J664" s="1" t="s">
        <v>5384</v>
      </c>
    </row>
    <row r="665" spans="1:10" x14ac:dyDescent="0.25">
      <c r="A665" s="1" t="s">
        <v>5377</v>
      </c>
      <c r="B665" s="1" t="s">
        <v>5149</v>
      </c>
      <c r="C665" s="2">
        <v>44894</v>
      </c>
      <c r="D665" s="6"/>
      <c r="E665" s="6">
        <v>75</v>
      </c>
      <c r="F665" s="1" t="s">
        <v>5378</v>
      </c>
      <c r="G665" s="14" t="s">
        <v>5379</v>
      </c>
      <c r="H665" s="1" t="s">
        <v>5380</v>
      </c>
      <c r="I665" s="22" t="s">
        <v>5381</v>
      </c>
      <c r="J665" s="1" t="s">
        <v>5382</v>
      </c>
    </row>
    <row r="666" spans="1:10" x14ac:dyDescent="0.25">
      <c r="A666" s="1" t="s">
        <v>5399</v>
      </c>
      <c r="B666" s="1" t="s">
        <v>5400</v>
      </c>
      <c r="C666" s="2">
        <v>44895</v>
      </c>
      <c r="D666" s="6"/>
      <c r="E666" s="6">
        <v>250</v>
      </c>
      <c r="F666" s="1" t="s">
        <v>498</v>
      </c>
      <c r="G666" s="1" t="s">
        <v>3476</v>
      </c>
      <c r="H666" s="1" t="s">
        <v>1098</v>
      </c>
      <c r="I666" s="22" t="s">
        <v>5401</v>
      </c>
      <c r="J666" s="1" t="s">
        <v>5402</v>
      </c>
    </row>
    <row r="667" spans="1:10" x14ac:dyDescent="0.25">
      <c r="A667" s="1" t="s">
        <v>5403</v>
      </c>
      <c r="B667" s="1" t="s">
        <v>5420</v>
      </c>
      <c r="C667" s="2">
        <v>44896</v>
      </c>
      <c r="D667" s="6">
        <v>1636.4</v>
      </c>
      <c r="E667" s="6">
        <v>1936.68</v>
      </c>
      <c r="F667" s="1" t="s">
        <v>472</v>
      </c>
      <c r="G667" s="1" t="s">
        <v>3415</v>
      </c>
      <c r="H667" s="1" t="s">
        <v>1151</v>
      </c>
      <c r="I667" s="22" t="s">
        <v>5421</v>
      </c>
      <c r="J667" s="1" t="s">
        <v>5422</v>
      </c>
    </row>
    <row r="668" spans="1:10" x14ac:dyDescent="0.25">
      <c r="A668" s="1" t="s">
        <v>5404</v>
      </c>
      <c r="B668" s="1" t="s">
        <v>5423</v>
      </c>
      <c r="C668" s="2">
        <v>44896</v>
      </c>
      <c r="D668" s="6">
        <v>3200</v>
      </c>
      <c r="E668" s="6">
        <v>3840</v>
      </c>
      <c r="F668" s="1" t="s">
        <v>1527</v>
      </c>
      <c r="G668" s="1" t="s">
        <v>3546</v>
      </c>
      <c r="H668" s="1" t="s">
        <v>5424</v>
      </c>
      <c r="I668" s="22" t="s">
        <v>5425</v>
      </c>
      <c r="J668" s="1" t="s">
        <v>5426</v>
      </c>
    </row>
    <row r="669" spans="1:10" x14ac:dyDescent="0.25">
      <c r="A669" s="1" t="s">
        <v>5405</v>
      </c>
      <c r="B669" s="1" t="s">
        <v>5427</v>
      </c>
      <c r="C669" s="2">
        <v>44896</v>
      </c>
      <c r="D669" s="6">
        <v>1817</v>
      </c>
      <c r="E669" s="6">
        <v>2180.4</v>
      </c>
      <c r="F669" s="1" t="s">
        <v>5428</v>
      </c>
      <c r="G669" s="1" t="s">
        <v>5429</v>
      </c>
      <c r="H669" s="1" t="s">
        <v>1144</v>
      </c>
      <c r="I669" s="22" t="s">
        <v>5430</v>
      </c>
      <c r="J669" s="1" t="s">
        <v>5431</v>
      </c>
    </row>
    <row r="670" spans="1:10" x14ac:dyDescent="0.25">
      <c r="A670" s="1" t="s">
        <v>5406</v>
      </c>
      <c r="B670" s="1" t="s">
        <v>5432</v>
      </c>
      <c r="C670" s="2">
        <v>44896</v>
      </c>
      <c r="D670" s="6">
        <v>2064.4699999999998</v>
      </c>
      <c r="E670" s="6">
        <v>2477.36</v>
      </c>
      <c r="F670" s="1" t="s">
        <v>470</v>
      </c>
      <c r="G670" s="1" t="s">
        <v>3399</v>
      </c>
      <c r="H670" s="1" t="s">
        <v>1101</v>
      </c>
      <c r="I670" s="22" t="s">
        <v>3400</v>
      </c>
      <c r="J670" s="1" t="s">
        <v>5433</v>
      </c>
    </row>
    <row r="671" spans="1:10" x14ac:dyDescent="0.25">
      <c r="A671" s="1" t="s">
        <v>5407</v>
      </c>
      <c r="B671" s="1" t="s">
        <v>5434</v>
      </c>
      <c r="C671" s="2">
        <v>44896</v>
      </c>
      <c r="D671" s="6">
        <v>3.33</v>
      </c>
      <c r="E671" s="6">
        <v>4</v>
      </c>
      <c r="F671" s="1" t="s">
        <v>468</v>
      </c>
      <c r="G671" s="1" t="s">
        <v>4525</v>
      </c>
      <c r="H671" s="1" t="s">
        <v>1098</v>
      </c>
      <c r="I671" s="22" t="s">
        <v>1189</v>
      </c>
      <c r="J671" s="1" t="s">
        <v>5435</v>
      </c>
    </row>
    <row r="672" spans="1:10" x14ac:dyDescent="0.25">
      <c r="A672" s="1" t="s">
        <v>5408</v>
      </c>
      <c r="B672" s="1" t="s">
        <v>5436</v>
      </c>
      <c r="C672" s="2">
        <v>44896</v>
      </c>
      <c r="D672" s="6"/>
      <c r="E672" s="6">
        <v>68</v>
      </c>
      <c r="F672" s="1" t="s">
        <v>469</v>
      </c>
      <c r="G672" s="1" t="s">
        <v>5067</v>
      </c>
      <c r="H672" s="1"/>
      <c r="I672" s="22"/>
      <c r="J672" s="1" t="s">
        <v>5437</v>
      </c>
    </row>
    <row r="673" spans="1:10" x14ac:dyDescent="0.25">
      <c r="A673" s="1" t="s">
        <v>5409</v>
      </c>
      <c r="B673" s="1" t="s">
        <v>5438</v>
      </c>
      <c r="C673" s="2">
        <v>44896</v>
      </c>
      <c r="D673" s="6"/>
      <c r="E673" s="6">
        <v>27</v>
      </c>
      <c r="F673" s="1" t="s">
        <v>469</v>
      </c>
      <c r="G673" s="1" t="s">
        <v>5067</v>
      </c>
      <c r="H673" s="1"/>
      <c r="I673" s="22"/>
      <c r="J673" s="1" t="s">
        <v>5439</v>
      </c>
    </row>
    <row r="674" spans="1:10" x14ac:dyDescent="0.25">
      <c r="A674" s="1" t="s">
        <v>5410</v>
      </c>
      <c r="B674" s="1" t="s">
        <v>5440</v>
      </c>
      <c r="C674" s="2">
        <v>44896</v>
      </c>
      <c r="D674" s="6"/>
      <c r="E674" s="6">
        <v>41</v>
      </c>
      <c r="F674" s="1" t="s">
        <v>5441</v>
      </c>
      <c r="G674" s="1" t="s">
        <v>5067</v>
      </c>
      <c r="H674" s="1"/>
      <c r="I674" s="22"/>
      <c r="J674" s="1" t="s">
        <v>5442</v>
      </c>
    </row>
    <row r="675" spans="1:10" x14ac:dyDescent="0.25">
      <c r="A675" s="1" t="s">
        <v>5411</v>
      </c>
      <c r="B675" s="1" t="s">
        <v>5443</v>
      </c>
      <c r="C675" s="2">
        <v>44896</v>
      </c>
      <c r="D675" s="6"/>
      <c r="E675" s="6">
        <v>16.5</v>
      </c>
      <c r="F675" s="1" t="s">
        <v>5441</v>
      </c>
      <c r="G675" s="1" t="s">
        <v>5067</v>
      </c>
      <c r="H675" s="1"/>
      <c r="I675" s="22"/>
      <c r="J675" s="1" t="s">
        <v>4641</v>
      </c>
    </row>
    <row r="676" spans="1:10" x14ac:dyDescent="0.25">
      <c r="A676" s="1" t="s">
        <v>5412</v>
      </c>
      <c r="B676" s="1" t="s">
        <v>5511</v>
      </c>
      <c r="C676" s="2">
        <v>44900</v>
      </c>
      <c r="D676" s="6">
        <v>20035</v>
      </c>
      <c r="E676" s="6">
        <v>24042</v>
      </c>
      <c r="F676" s="1" t="s">
        <v>468</v>
      </c>
      <c r="G676" s="1" t="s">
        <v>3398</v>
      </c>
      <c r="H676" s="1" t="s">
        <v>1098</v>
      </c>
      <c r="I676" s="22" t="s">
        <v>1189</v>
      </c>
      <c r="J676" s="1" t="s">
        <v>5512</v>
      </c>
    </row>
    <row r="677" spans="1:10" x14ac:dyDescent="0.25">
      <c r="A677" s="1" t="s">
        <v>5413</v>
      </c>
      <c r="B677" s="1" t="s">
        <v>5509</v>
      </c>
      <c r="C677" s="2">
        <v>44900</v>
      </c>
      <c r="D677" s="6">
        <v>200</v>
      </c>
      <c r="E677" s="6">
        <v>40</v>
      </c>
      <c r="F677" s="1" t="s">
        <v>468</v>
      </c>
      <c r="G677" s="1" t="s">
        <v>3398</v>
      </c>
      <c r="H677" s="1" t="s">
        <v>1098</v>
      </c>
      <c r="I677" s="22" t="s">
        <v>1189</v>
      </c>
      <c r="J677" s="1" t="s">
        <v>5510</v>
      </c>
    </row>
    <row r="678" spans="1:10" x14ac:dyDescent="0.25">
      <c r="A678" s="1" t="s">
        <v>5414</v>
      </c>
      <c r="B678" s="1" t="s">
        <v>5513</v>
      </c>
      <c r="C678" s="2">
        <v>44900</v>
      </c>
      <c r="D678" s="6">
        <v>149.11000000000001</v>
      </c>
      <c r="E678" s="6">
        <v>178.93</v>
      </c>
      <c r="F678" s="1" t="s">
        <v>468</v>
      </c>
      <c r="G678" s="1" t="s">
        <v>3398</v>
      </c>
      <c r="H678" s="1" t="s">
        <v>1098</v>
      </c>
      <c r="I678" s="22" t="s">
        <v>1189</v>
      </c>
      <c r="J678" s="1" t="s">
        <v>2567</v>
      </c>
    </row>
    <row r="679" spans="1:10" x14ac:dyDescent="0.25">
      <c r="A679" s="1" t="s">
        <v>5415</v>
      </c>
      <c r="B679" s="1" t="s">
        <v>5504</v>
      </c>
      <c r="C679" s="2">
        <v>44900</v>
      </c>
      <c r="D679" s="6">
        <v>141.97</v>
      </c>
      <c r="E679" s="6">
        <v>170.37</v>
      </c>
      <c r="F679" s="1" t="s">
        <v>468</v>
      </c>
      <c r="G679" s="1" t="s">
        <v>3398</v>
      </c>
      <c r="H679" s="1" t="s">
        <v>1098</v>
      </c>
      <c r="I679" s="22" t="s">
        <v>1189</v>
      </c>
      <c r="J679" s="1" t="s">
        <v>4761</v>
      </c>
    </row>
    <row r="680" spans="1:10" x14ac:dyDescent="0.25">
      <c r="A680" s="1" t="s">
        <v>5416</v>
      </c>
      <c r="B680" s="1" t="s">
        <v>5534</v>
      </c>
      <c r="C680" s="2">
        <v>44900</v>
      </c>
      <c r="D680" s="6">
        <v>1036.51</v>
      </c>
      <c r="E680" s="6">
        <v>1243.81</v>
      </c>
      <c r="F680" s="1" t="s">
        <v>477</v>
      </c>
      <c r="G680" s="1" t="s">
        <v>4777</v>
      </c>
      <c r="H680" s="1" t="s">
        <v>1120</v>
      </c>
      <c r="I680" s="22" t="s">
        <v>5535</v>
      </c>
      <c r="J680" s="1" t="s">
        <v>4779</v>
      </c>
    </row>
    <row r="681" spans="1:10" x14ac:dyDescent="0.25">
      <c r="A681" s="1" t="s">
        <v>5417</v>
      </c>
      <c r="B681" s="1" t="s">
        <v>5542</v>
      </c>
      <c r="C681" s="2">
        <v>44900</v>
      </c>
      <c r="D681" s="6"/>
      <c r="E681" s="6">
        <v>59770</v>
      </c>
      <c r="F681" s="1" t="s">
        <v>475</v>
      </c>
      <c r="G681" s="14" t="s">
        <v>3411</v>
      </c>
      <c r="H681" s="1" t="s">
        <v>1115</v>
      </c>
      <c r="I681" s="22" t="s">
        <v>3412</v>
      </c>
      <c r="J681" s="1" t="s">
        <v>3704</v>
      </c>
    </row>
    <row r="682" spans="1:10" x14ac:dyDescent="0.25">
      <c r="A682" s="1" t="s">
        <v>5418</v>
      </c>
      <c r="B682" s="1" t="s">
        <v>5536</v>
      </c>
      <c r="C682" s="2">
        <v>44901</v>
      </c>
      <c r="D682" s="6">
        <v>4056.7</v>
      </c>
      <c r="E682" s="6">
        <v>4868.04</v>
      </c>
      <c r="F682" s="1" t="s">
        <v>5537</v>
      </c>
      <c r="G682" s="14" t="s">
        <v>5538</v>
      </c>
      <c r="H682" s="1" t="s">
        <v>5539</v>
      </c>
      <c r="I682" s="22" t="s">
        <v>5540</v>
      </c>
      <c r="J682" s="1" t="s">
        <v>5541</v>
      </c>
    </row>
    <row r="683" spans="1:10" x14ac:dyDescent="0.25">
      <c r="A683" s="1" t="s">
        <v>5447</v>
      </c>
      <c r="B683" s="1" t="s">
        <v>5543</v>
      </c>
      <c r="C683" s="2">
        <v>44901</v>
      </c>
      <c r="D683" s="34">
        <v>60</v>
      </c>
      <c r="E683" s="34">
        <v>12</v>
      </c>
      <c r="F683" s="1" t="s">
        <v>5544</v>
      </c>
      <c r="G683" s="14" t="s">
        <v>5545</v>
      </c>
      <c r="H683" s="1" t="s">
        <v>5546</v>
      </c>
      <c r="I683" s="22"/>
      <c r="J683" s="1" t="s">
        <v>5547</v>
      </c>
    </row>
    <row r="684" spans="1:10" x14ac:dyDescent="0.25">
      <c r="A684" s="1" t="s">
        <v>5448</v>
      </c>
      <c r="B684" s="1" t="s">
        <v>5533</v>
      </c>
      <c r="C684" s="2">
        <v>44902</v>
      </c>
      <c r="D684" s="34">
        <v>-348.76</v>
      </c>
      <c r="E684" s="34">
        <v>-418.52</v>
      </c>
      <c r="F684" s="1" t="s">
        <v>4531</v>
      </c>
      <c r="G684" s="14" t="s">
        <v>4532</v>
      </c>
      <c r="H684" s="1" t="s">
        <v>1107</v>
      </c>
      <c r="I684" s="22" t="s">
        <v>3410</v>
      </c>
      <c r="J684" s="1" t="s">
        <v>2414</v>
      </c>
    </row>
    <row r="685" spans="1:10" x14ac:dyDescent="0.25">
      <c r="A685" s="1" t="s">
        <v>5449</v>
      </c>
      <c r="B685" s="1" t="s">
        <v>5531</v>
      </c>
      <c r="C685" s="2">
        <v>44902</v>
      </c>
      <c r="D685" s="34">
        <v>16.5</v>
      </c>
      <c r="E685" s="34">
        <v>19.8</v>
      </c>
      <c r="F685" s="1" t="s">
        <v>3451</v>
      </c>
      <c r="G685" s="14" t="s">
        <v>3429</v>
      </c>
      <c r="H685" s="1" t="s">
        <v>1124</v>
      </c>
      <c r="I685" s="22" t="s">
        <v>5515</v>
      </c>
      <c r="J685" s="1" t="s">
        <v>5532</v>
      </c>
    </row>
    <row r="686" spans="1:10" x14ac:dyDescent="0.25">
      <c r="A686" s="1" t="s">
        <v>5450</v>
      </c>
      <c r="B686" s="1" t="s">
        <v>5529</v>
      </c>
      <c r="C686" s="2">
        <v>44902</v>
      </c>
      <c r="D686" s="34">
        <v>16.5</v>
      </c>
      <c r="E686" s="34">
        <v>19.8</v>
      </c>
      <c r="F686" s="1" t="s">
        <v>3451</v>
      </c>
      <c r="G686" s="14" t="s">
        <v>3429</v>
      </c>
      <c r="H686" s="1" t="s">
        <v>1124</v>
      </c>
      <c r="I686" s="22" t="s">
        <v>5515</v>
      </c>
      <c r="J686" s="1" t="s">
        <v>5530</v>
      </c>
    </row>
    <row r="687" spans="1:10" x14ac:dyDescent="0.25">
      <c r="A687" s="1" t="s">
        <v>5451</v>
      </c>
      <c r="B687" s="1" t="s">
        <v>5527</v>
      </c>
      <c r="C687" s="2">
        <v>44902</v>
      </c>
      <c r="D687" s="34">
        <v>16.5</v>
      </c>
      <c r="E687" s="34">
        <v>19.8</v>
      </c>
      <c r="F687" s="1" t="s">
        <v>3451</v>
      </c>
      <c r="G687" s="14" t="s">
        <v>3429</v>
      </c>
      <c r="H687" s="1" t="s">
        <v>1124</v>
      </c>
      <c r="I687" s="22" t="s">
        <v>5515</v>
      </c>
      <c r="J687" s="1" t="s">
        <v>5528</v>
      </c>
    </row>
    <row r="688" spans="1:10" x14ac:dyDescent="0.25">
      <c r="A688" s="1" t="s">
        <v>5452</v>
      </c>
      <c r="B688" s="1" t="s">
        <v>5526</v>
      </c>
      <c r="C688" s="2">
        <v>44902</v>
      </c>
      <c r="D688" s="34">
        <v>16.5</v>
      </c>
      <c r="E688" s="34">
        <v>19.8</v>
      </c>
      <c r="F688" s="1" t="s">
        <v>3451</v>
      </c>
      <c r="G688" s="14" t="s">
        <v>3429</v>
      </c>
      <c r="H688" s="1" t="s">
        <v>1124</v>
      </c>
      <c r="I688" s="22" t="s">
        <v>5515</v>
      </c>
      <c r="J688" s="1" t="s">
        <v>5525</v>
      </c>
    </row>
    <row r="689" spans="1:10" x14ac:dyDescent="0.25">
      <c r="A689" s="1" t="s">
        <v>5453</v>
      </c>
      <c r="B689" s="1" t="s">
        <v>5524</v>
      </c>
      <c r="C689" s="2">
        <v>44902</v>
      </c>
      <c r="D689" s="34">
        <v>16.5</v>
      </c>
      <c r="E689" s="34">
        <v>19.8</v>
      </c>
      <c r="F689" s="1" t="s">
        <v>3451</v>
      </c>
      <c r="G689" s="14" t="s">
        <v>3429</v>
      </c>
      <c r="H689" s="1" t="s">
        <v>1124</v>
      </c>
      <c r="I689" s="22" t="s">
        <v>5515</v>
      </c>
      <c r="J689" s="1" t="s">
        <v>5525</v>
      </c>
    </row>
    <row r="690" spans="1:10" x14ac:dyDescent="0.25">
      <c r="A690" s="1" t="s">
        <v>5454</v>
      </c>
      <c r="B690" s="1" t="s">
        <v>5522</v>
      </c>
      <c r="C690" s="2">
        <v>44902</v>
      </c>
      <c r="D690" s="34">
        <v>16.5</v>
      </c>
      <c r="E690" s="34">
        <v>19.8</v>
      </c>
      <c r="F690" s="1" t="s">
        <v>3451</v>
      </c>
      <c r="G690" s="14" t="s">
        <v>3429</v>
      </c>
      <c r="H690" s="1" t="s">
        <v>1124</v>
      </c>
      <c r="I690" s="22" t="s">
        <v>5515</v>
      </c>
      <c r="J690" s="1" t="s">
        <v>5523</v>
      </c>
    </row>
    <row r="691" spans="1:10" x14ac:dyDescent="0.25">
      <c r="A691" s="1" t="s">
        <v>5455</v>
      </c>
      <c r="B691" s="1" t="s">
        <v>4320</v>
      </c>
      <c r="C691" s="2">
        <v>44902</v>
      </c>
      <c r="D691" s="34">
        <v>16.5</v>
      </c>
      <c r="E691" s="34">
        <v>19.8</v>
      </c>
      <c r="F691" s="1" t="s">
        <v>3451</v>
      </c>
      <c r="G691" s="14" t="s">
        <v>3429</v>
      </c>
      <c r="H691" s="1" t="s">
        <v>1124</v>
      </c>
      <c r="I691" s="22" t="s">
        <v>5515</v>
      </c>
      <c r="J691" s="1" t="s">
        <v>5521</v>
      </c>
    </row>
    <row r="692" spans="1:10" x14ac:dyDescent="0.25">
      <c r="A692" s="1" t="s">
        <v>5456</v>
      </c>
      <c r="B692" s="1" t="s">
        <v>5519</v>
      </c>
      <c r="C692" s="2">
        <v>44902</v>
      </c>
      <c r="D692" s="34">
        <v>16.5</v>
      </c>
      <c r="E692" s="34">
        <v>19.8</v>
      </c>
      <c r="F692" s="1" t="s">
        <v>3451</v>
      </c>
      <c r="G692" s="14" t="s">
        <v>3429</v>
      </c>
      <c r="H692" s="1" t="s">
        <v>1124</v>
      </c>
      <c r="I692" s="22" t="s">
        <v>5515</v>
      </c>
      <c r="J692" s="1" t="s">
        <v>5520</v>
      </c>
    </row>
    <row r="693" spans="1:10" x14ac:dyDescent="0.25">
      <c r="A693" s="1" t="s">
        <v>5457</v>
      </c>
      <c r="B693" s="1" t="s">
        <v>5517</v>
      </c>
      <c r="C693" s="2">
        <v>44902</v>
      </c>
      <c r="D693" s="34">
        <v>16.5</v>
      </c>
      <c r="E693" s="34">
        <v>19.8</v>
      </c>
      <c r="F693" s="1" t="s">
        <v>3451</v>
      </c>
      <c r="G693" s="14" t="s">
        <v>3429</v>
      </c>
      <c r="H693" s="1" t="s">
        <v>1124</v>
      </c>
      <c r="I693" s="22" t="s">
        <v>5515</v>
      </c>
      <c r="J693" s="1" t="s">
        <v>5518</v>
      </c>
    </row>
    <row r="694" spans="1:10" x14ac:dyDescent="0.25">
      <c r="A694" s="1" t="s">
        <v>5458</v>
      </c>
      <c r="B694" s="1" t="s">
        <v>5514</v>
      </c>
      <c r="C694" s="2">
        <v>44902</v>
      </c>
      <c r="D694" s="34">
        <v>16.5</v>
      </c>
      <c r="E694" s="34">
        <v>19.8</v>
      </c>
      <c r="F694" s="1" t="s">
        <v>3451</v>
      </c>
      <c r="G694" s="14" t="s">
        <v>3429</v>
      </c>
      <c r="H694" s="1" t="s">
        <v>1124</v>
      </c>
      <c r="I694" s="22" t="s">
        <v>5515</v>
      </c>
      <c r="J694" s="1" t="s">
        <v>5516</v>
      </c>
    </row>
    <row r="695" spans="1:10" x14ac:dyDescent="0.25">
      <c r="A695" s="1" t="s">
        <v>5459</v>
      </c>
      <c r="B695" s="1" t="s">
        <v>5496</v>
      </c>
      <c r="C695" s="2">
        <v>44902</v>
      </c>
      <c r="D695" s="34">
        <v>347.62</v>
      </c>
      <c r="E695" s="34">
        <v>417.14</v>
      </c>
      <c r="F695" s="1" t="s">
        <v>2374</v>
      </c>
      <c r="G695" s="14" t="s">
        <v>3693</v>
      </c>
      <c r="H695" s="1" t="s">
        <v>2375</v>
      </c>
      <c r="I695" s="22" t="s">
        <v>5497</v>
      </c>
      <c r="J695" s="1" t="s">
        <v>5498</v>
      </c>
    </row>
    <row r="696" spans="1:10" x14ac:dyDescent="0.25">
      <c r="A696" s="1" t="s">
        <v>5460</v>
      </c>
      <c r="B696" s="1" t="s">
        <v>5493</v>
      </c>
      <c r="C696" s="2">
        <v>44902</v>
      </c>
      <c r="D696" s="34">
        <v>484.93</v>
      </c>
      <c r="E696" s="34">
        <v>581.91999999999996</v>
      </c>
      <c r="F696" s="1" t="s">
        <v>2374</v>
      </c>
      <c r="G696" s="14" t="s">
        <v>3693</v>
      </c>
      <c r="H696" s="1" t="s">
        <v>2375</v>
      </c>
      <c r="I696" s="22" t="s">
        <v>5494</v>
      </c>
      <c r="J696" s="1" t="s">
        <v>5495</v>
      </c>
    </row>
    <row r="697" spans="1:10" x14ac:dyDescent="0.25">
      <c r="A697" s="1" t="s">
        <v>5461</v>
      </c>
      <c r="B697" s="1" t="s">
        <v>5490</v>
      </c>
      <c r="C697" s="2">
        <v>44902</v>
      </c>
      <c r="D697" s="34">
        <v>475.06</v>
      </c>
      <c r="E697" s="34">
        <v>570.07000000000005</v>
      </c>
      <c r="F697" s="1" t="s">
        <v>2374</v>
      </c>
      <c r="G697" s="14" t="s">
        <v>3693</v>
      </c>
      <c r="H697" s="1" t="s">
        <v>2375</v>
      </c>
      <c r="I697" s="22" t="s">
        <v>5491</v>
      </c>
      <c r="J697" s="1" t="s">
        <v>5492</v>
      </c>
    </row>
    <row r="698" spans="1:10" x14ac:dyDescent="0.25">
      <c r="A698" s="1" t="s">
        <v>5462</v>
      </c>
      <c r="B698" s="1" t="s">
        <v>5487</v>
      </c>
      <c r="C698" s="2">
        <v>44902</v>
      </c>
      <c r="D698" s="34">
        <v>184.45</v>
      </c>
      <c r="E698" s="34">
        <v>221.34</v>
      </c>
      <c r="F698" s="1" t="s">
        <v>2374</v>
      </c>
      <c r="G698" s="14" t="s">
        <v>3693</v>
      </c>
      <c r="H698" s="1" t="s">
        <v>2375</v>
      </c>
      <c r="I698" s="22" t="s">
        <v>5488</v>
      </c>
      <c r="J698" s="1" t="s">
        <v>5489</v>
      </c>
    </row>
    <row r="699" spans="1:10" x14ac:dyDescent="0.25">
      <c r="A699" s="1" t="s">
        <v>5463</v>
      </c>
      <c r="B699" s="1" t="s">
        <v>5484</v>
      </c>
      <c r="C699" s="2">
        <v>44902</v>
      </c>
      <c r="D699" s="34">
        <v>226</v>
      </c>
      <c r="E699" s="34">
        <v>271.2</v>
      </c>
      <c r="F699" s="1" t="s">
        <v>2374</v>
      </c>
      <c r="G699" s="14" t="s">
        <v>3693</v>
      </c>
      <c r="H699" s="1" t="s">
        <v>2375</v>
      </c>
      <c r="I699" s="22" t="s">
        <v>5485</v>
      </c>
      <c r="J699" s="1" t="s">
        <v>5486</v>
      </c>
    </row>
    <row r="700" spans="1:10" x14ac:dyDescent="0.25">
      <c r="A700" s="1" t="s">
        <v>5464</v>
      </c>
      <c r="B700" s="1" t="s">
        <v>5583</v>
      </c>
      <c r="C700" s="2">
        <v>44902</v>
      </c>
      <c r="D700" s="34"/>
      <c r="E700" s="34">
        <v>30</v>
      </c>
      <c r="F700" s="1" t="s">
        <v>2751</v>
      </c>
      <c r="G700" s="14" t="s">
        <v>3515</v>
      </c>
      <c r="H700" s="1" t="s">
        <v>3516</v>
      </c>
      <c r="I700" s="22" t="s">
        <v>5584</v>
      </c>
      <c r="J700" s="1" t="s">
        <v>5585</v>
      </c>
    </row>
    <row r="701" spans="1:10" x14ac:dyDescent="0.25">
      <c r="A701" s="1" t="s">
        <v>5465</v>
      </c>
      <c r="B701" s="1" t="s">
        <v>5548</v>
      </c>
      <c r="C701" s="2">
        <v>44902</v>
      </c>
      <c r="D701" s="34">
        <v>1476</v>
      </c>
      <c r="E701" s="34">
        <v>1771.2</v>
      </c>
      <c r="F701" s="1" t="s">
        <v>4516</v>
      </c>
      <c r="G701" s="1" t="s">
        <v>4517</v>
      </c>
      <c r="H701" s="1" t="s">
        <v>4518</v>
      </c>
      <c r="I701" s="22" t="s">
        <v>4519</v>
      </c>
      <c r="J701" s="1" t="s">
        <v>5549</v>
      </c>
    </row>
    <row r="702" spans="1:10" x14ac:dyDescent="0.25">
      <c r="A702" s="1" t="s">
        <v>5466</v>
      </c>
      <c r="B702" s="1" t="s">
        <v>5581</v>
      </c>
      <c r="C702" s="2">
        <v>44902</v>
      </c>
      <c r="D702" s="6">
        <v>1476</v>
      </c>
      <c r="E702" s="6">
        <v>1771.2</v>
      </c>
      <c r="F702" s="1" t="s">
        <v>4516</v>
      </c>
      <c r="G702" s="1" t="s">
        <v>4517</v>
      </c>
      <c r="H702" s="1" t="s">
        <v>4518</v>
      </c>
      <c r="I702" s="22" t="s">
        <v>4522</v>
      </c>
      <c r="J702" s="1" t="s">
        <v>5582</v>
      </c>
    </row>
    <row r="703" spans="1:10" x14ac:dyDescent="0.25">
      <c r="A703" s="1" t="s">
        <v>5467</v>
      </c>
      <c r="B703" s="1" t="s">
        <v>5579</v>
      </c>
      <c r="C703" s="2">
        <v>44902</v>
      </c>
      <c r="D703" s="34">
        <v>165.96</v>
      </c>
      <c r="E703" s="34">
        <v>199.15</v>
      </c>
      <c r="F703" s="1" t="s">
        <v>466</v>
      </c>
      <c r="G703" s="14" t="s">
        <v>3406</v>
      </c>
      <c r="H703" s="1" t="s">
        <v>1105</v>
      </c>
      <c r="I703" s="22" t="s">
        <v>4501</v>
      </c>
      <c r="J703" s="1" t="s">
        <v>5580</v>
      </c>
    </row>
    <row r="704" spans="1:10" x14ac:dyDescent="0.25">
      <c r="A704" s="1" t="s">
        <v>5468</v>
      </c>
      <c r="B704" s="1" t="s">
        <v>5499</v>
      </c>
      <c r="C704" s="2">
        <v>44902</v>
      </c>
      <c r="D704" s="34">
        <v>1665</v>
      </c>
      <c r="E704" s="34">
        <v>1998</v>
      </c>
      <c r="F704" s="1" t="s">
        <v>470</v>
      </c>
      <c r="G704" s="14" t="s">
        <v>3399</v>
      </c>
      <c r="H704" s="1" t="s">
        <v>1101</v>
      </c>
      <c r="I704" s="22" t="s">
        <v>5500</v>
      </c>
      <c r="J704" s="1" t="s">
        <v>5501</v>
      </c>
    </row>
    <row r="705" spans="1:10" x14ac:dyDescent="0.25">
      <c r="A705" s="1" t="s">
        <v>5469</v>
      </c>
      <c r="B705" s="1" t="s">
        <v>5577</v>
      </c>
      <c r="C705" s="2">
        <v>44903</v>
      </c>
      <c r="D705" s="34">
        <v>9</v>
      </c>
      <c r="E705" s="34">
        <v>10.8</v>
      </c>
      <c r="F705" s="1" t="s">
        <v>470</v>
      </c>
      <c r="G705" s="14" t="s">
        <v>3399</v>
      </c>
      <c r="H705" s="1" t="s">
        <v>1101</v>
      </c>
      <c r="I705" s="22" t="s">
        <v>3400</v>
      </c>
      <c r="J705" s="1" t="s">
        <v>5578</v>
      </c>
    </row>
    <row r="706" spans="1:10" x14ac:dyDescent="0.25">
      <c r="A706" s="1" t="s">
        <v>5470</v>
      </c>
      <c r="B706" s="1" t="s">
        <v>5576</v>
      </c>
      <c r="C706" s="2">
        <v>44903</v>
      </c>
      <c r="D706" s="34">
        <v>158.69999999999999</v>
      </c>
      <c r="E706" s="34">
        <v>190.44</v>
      </c>
      <c r="F706" s="1" t="s">
        <v>470</v>
      </c>
      <c r="G706" s="14" t="s">
        <v>3399</v>
      </c>
      <c r="H706" s="1" t="s">
        <v>1101</v>
      </c>
      <c r="I706" s="22" t="s">
        <v>3400</v>
      </c>
      <c r="J706" s="1" t="s">
        <v>1766</v>
      </c>
    </row>
    <row r="707" spans="1:10" x14ac:dyDescent="0.25">
      <c r="A707" s="1" t="s">
        <v>5471</v>
      </c>
      <c r="B707" s="1" t="s">
        <v>5573</v>
      </c>
      <c r="C707" s="2">
        <v>44903</v>
      </c>
      <c r="D707" s="34"/>
      <c r="E707" s="34">
        <v>1792.9</v>
      </c>
      <c r="F707" s="1" t="s">
        <v>486</v>
      </c>
      <c r="G707" s="14" t="s">
        <v>3528</v>
      </c>
      <c r="H707" s="1" t="s">
        <v>1133</v>
      </c>
      <c r="I707" s="22" t="s">
        <v>5574</v>
      </c>
      <c r="J707" s="1" t="s">
        <v>5575</v>
      </c>
    </row>
    <row r="708" spans="1:10" x14ac:dyDescent="0.25">
      <c r="A708" s="1" t="s">
        <v>5472</v>
      </c>
      <c r="B708" s="1" t="s">
        <v>5570</v>
      </c>
      <c r="C708" s="2">
        <v>44903</v>
      </c>
      <c r="D708" s="34"/>
      <c r="E708" s="34">
        <v>503.5</v>
      </c>
      <c r="F708" s="1" t="s">
        <v>486</v>
      </c>
      <c r="G708" s="14" t="s">
        <v>3528</v>
      </c>
      <c r="H708" s="1" t="s">
        <v>1133</v>
      </c>
      <c r="I708" s="22" t="s">
        <v>5571</v>
      </c>
      <c r="J708" s="1" t="s">
        <v>5572</v>
      </c>
    </row>
    <row r="709" spans="1:10" x14ac:dyDescent="0.25">
      <c r="A709" s="1" t="s">
        <v>5473</v>
      </c>
      <c r="B709" s="1" t="s">
        <v>5567</v>
      </c>
      <c r="C709" s="2">
        <v>44903</v>
      </c>
      <c r="D709" s="34"/>
      <c r="E709" s="34">
        <v>1339.4</v>
      </c>
      <c r="F709" s="1" t="s">
        <v>486</v>
      </c>
      <c r="G709" s="14" t="s">
        <v>3528</v>
      </c>
      <c r="H709" s="1" t="s">
        <v>1133</v>
      </c>
      <c r="I709" s="22" t="s">
        <v>5568</v>
      </c>
      <c r="J709" s="1" t="s">
        <v>5569</v>
      </c>
    </row>
    <row r="710" spans="1:10" x14ac:dyDescent="0.25">
      <c r="A710" s="1" t="s">
        <v>5474</v>
      </c>
      <c r="B710" s="1" t="s">
        <v>5558</v>
      </c>
      <c r="C710" s="2">
        <v>44903</v>
      </c>
      <c r="D710" s="34">
        <v>600</v>
      </c>
      <c r="E710" s="34">
        <v>720</v>
      </c>
      <c r="F710" s="1" t="s">
        <v>5559</v>
      </c>
      <c r="G710" s="14" t="s">
        <v>5560</v>
      </c>
      <c r="H710" s="1" t="s">
        <v>5561</v>
      </c>
      <c r="I710" s="22" t="s">
        <v>5562</v>
      </c>
      <c r="J710" s="1" t="s">
        <v>5563</v>
      </c>
    </row>
    <row r="711" spans="1:10" x14ac:dyDescent="0.25">
      <c r="A711" s="1" t="s">
        <v>5475</v>
      </c>
      <c r="B711" s="1" t="s">
        <v>5505</v>
      </c>
      <c r="C711" s="2">
        <v>44903</v>
      </c>
      <c r="D711" s="34">
        <v>2936.67</v>
      </c>
      <c r="E711" s="34">
        <v>3524</v>
      </c>
      <c r="F711" s="1" t="s">
        <v>468</v>
      </c>
      <c r="G711" s="1" t="s">
        <v>3398</v>
      </c>
      <c r="H711" s="1" t="s">
        <v>1098</v>
      </c>
      <c r="I711" s="22" t="s">
        <v>1189</v>
      </c>
      <c r="J711" s="1" t="s">
        <v>5506</v>
      </c>
    </row>
    <row r="712" spans="1:10" x14ac:dyDescent="0.25">
      <c r="A712" s="1" t="s">
        <v>5476</v>
      </c>
      <c r="B712" s="1" t="s">
        <v>5502</v>
      </c>
      <c r="C712" s="2">
        <v>44903</v>
      </c>
      <c r="D712" s="34">
        <v>270.83</v>
      </c>
      <c r="E712" s="34">
        <v>325</v>
      </c>
      <c r="F712" s="1" t="s">
        <v>468</v>
      </c>
      <c r="G712" s="1" t="s">
        <v>3398</v>
      </c>
      <c r="H712" s="1" t="s">
        <v>1098</v>
      </c>
      <c r="I712" s="22" t="s">
        <v>1189</v>
      </c>
      <c r="J712" s="1" t="s">
        <v>5503</v>
      </c>
    </row>
    <row r="713" spans="1:10" x14ac:dyDescent="0.25">
      <c r="A713" s="1" t="s">
        <v>5477</v>
      </c>
      <c r="B713" s="1" t="s">
        <v>5483</v>
      </c>
      <c r="C713" s="2">
        <v>44903</v>
      </c>
      <c r="D713" s="34">
        <v>-5.56</v>
      </c>
      <c r="E713" s="34">
        <v>-6.67</v>
      </c>
      <c r="F713" s="1" t="s">
        <v>468</v>
      </c>
      <c r="G713" s="1" t="s">
        <v>3398</v>
      </c>
      <c r="H713" s="1" t="s">
        <v>1098</v>
      </c>
      <c r="I713" s="22" t="s">
        <v>1189</v>
      </c>
      <c r="J713" s="1" t="s">
        <v>4761</v>
      </c>
    </row>
    <row r="714" spans="1:10" x14ac:dyDescent="0.25">
      <c r="A714" s="1" t="s">
        <v>5478</v>
      </c>
      <c r="B714" s="1" t="s">
        <v>5482</v>
      </c>
      <c r="C714" s="2">
        <v>44903</v>
      </c>
      <c r="D714" s="34">
        <v>-5.56</v>
      </c>
      <c r="E714" s="34">
        <v>-6.67</v>
      </c>
      <c r="F714" s="1" t="s">
        <v>468</v>
      </c>
      <c r="G714" s="1" t="s">
        <v>3398</v>
      </c>
      <c r="H714" s="1" t="s">
        <v>1098</v>
      </c>
      <c r="I714" s="22" t="s">
        <v>1189</v>
      </c>
      <c r="J714" s="1" t="s">
        <v>4761</v>
      </c>
    </row>
    <row r="715" spans="1:10" x14ac:dyDescent="0.25">
      <c r="A715" s="1" t="s">
        <v>5479</v>
      </c>
      <c r="B715" s="1" t="s">
        <v>5507</v>
      </c>
      <c r="C715" s="2">
        <v>44903</v>
      </c>
      <c r="D715" s="34">
        <v>162.6</v>
      </c>
      <c r="E715" s="34">
        <v>195.12</v>
      </c>
      <c r="F715" s="1" t="s">
        <v>468</v>
      </c>
      <c r="G715" s="1" t="s">
        <v>3398</v>
      </c>
      <c r="H715" s="1" t="s">
        <v>1098</v>
      </c>
      <c r="I715" s="22" t="s">
        <v>1189</v>
      </c>
      <c r="J715" s="1" t="s">
        <v>5508</v>
      </c>
    </row>
    <row r="716" spans="1:10" x14ac:dyDescent="0.25">
      <c r="A716" s="1" t="s">
        <v>5480</v>
      </c>
      <c r="B716" s="1" t="s">
        <v>5550</v>
      </c>
      <c r="C716" s="2">
        <v>44903</v>
      </c>
      <c r="D716" s="34"/>
      <c r="E716" s="34">
        <v>58.5</v>
      </c>
      <c r="F716" s="1" t="s">
        <v>4349</v>
      </c>
      <c r="G716" s="14" t="s">
        <v>4350</v>
      </c>
      <c r="H716" s="1"/>
      <c r="I716" s="22"/>
      <c r="J716" s="1" t="s">
        <v>5551</v>
      </c>
    </row>
    <row r="717" spans="1:10" x14ac:dyDescent="0.25">
      <c r="A717" s="1" t="s">
        <v>5481</v>
      </c>
      <c r="B717" s="1" t="s">
        <v>5552</v>
      </c>
      <c r="C717" s="2">
        <v>44903</v>
      </c>
      <c r="D717" s="34">
        <v>374</v>
      </c>
      <c r="E717" s="34">
        <v>448.8</v>
      </c>
      <c r="F717" s="1" t="s">
        <v>5553</v>
      </c>
      <c r="G717" s="14" t="s">
        <v>5554</v>
      </c>
      <c r="H717" s="1" t="s">
        <v>5555</v>
      </c>
      <c r="I717" s="22" t="s">
        <v>5556</v>
      </c>
      <c r="J717" s="1" t="s">
        <v>5557</v>
      </c>
    </row>
    <row r="718" spans="1:10" x14ac:dyDescent="0.25">
      <c r="A718" s="1" t="s">
        <v>5586</v>
      </c>
      <c r="B718" s="1" t="s">
        <v>5732</v>
      </c>
      <c r="C718" s="2">
        <v>44904</v>
      </c>
      <c r="D718" s="34">
        <v>753.5</v>
      </c>
      <c r="E718" s="34">
        <v>904.2</v>
      </c>
      <c r="F718" s="1" t="s">
        <v>468</v>
      </c>
      <c r="G718" s="1" t="s">
        <v>3398</v>
      </c>
      <c r="H718" s="1" t="s">
        <v>1098</v>
      </c>
      <c r="I718" s="22" t="s">
        <v>1189</v>
      </c>
      <c r="J718" s="1" t="s">
        <v>3386</v>
      </c>
    </row>
    <row r="719" spans="1:10" x14ac:dyDescent="0.25">
      <c r="A719" s="1" t="s">
        <v>5587</v>
      </c>
      <c r="B719" s="1" t="s">
        <v>5733</v>
      </c>
      <c r="C719" s="2">
        <v>44904</v>
      </c>
      <c r="D719" s="34">
        <v>2090</v>
      </c>
      <c r="E719" s="34">
        <v>2508</v>
      </c>
      <c r="F719" s="1" t="s">
        <v>468</v>
      </c>
      <c r="G719" s="1" t="s">
        <v>3398</v>
      </c>
      <c r="H719" s="1" t="s">
        <v>1098</v>
      </c>
      <c r="I719" s="22" t="s">
        <v>1189</v>
      </c>
      <c r="J719" s="1" t="s">
        <v>4369</v>
      </c>
    </row>
    <row r="720" spans="1:10" x14ac:dyDescent="0.25">
      <c r="A720" s="1" t="s">
        <v>5588</v>
      </c>
      <c r="B720" s="1" t="s">
        <v>5709</v>
      </c>
      <c r="C720" s="2">
        <v>44907</v>
      </c>
      <c r="D720" s="34"/>
      <c r="E720" s="34">
        <v>49.5</v>
      </c>
      <c r="F720" s="1" t="s">
        <v>5441</v>
      </c>
      <c r="G720" s="1" t="s">
        <v>5067</v>
      </c>
      <c r="H720" s="1"/>
      <c r="I720" s="22"/>
      <c r="J720" s="1" t="s">
        <v>5437</v>
      </c>
    </row>
    <row r="721" spans="1:10" x14ac:dyDescent="0.25">
      <c r="A721" s="1" t="s">
        <v>5589</v>
      </c>
      <c r="B721" s="1" t="s">
        <v>5707</v>
      </c>
      <c r="C721" s="2">
        <v>44907</v>
      </c>
      <c r="D721" s="34">
        <v>1340.39</v>
      </c>
      <c r="E721" s="34">
        <v>1608.47</v>
      </c>
      <c r="F721" s="1" t="s">
        <v>477</v>
      </c>
      <c r="G721" s="14" t="s">
        <v>4777</v>
      </c>
      <c r="H721" s="1" t="s">
        <v>1120</v>
      </c>
      <c r="I721" s="22" t="s">
        <v>5708</v>
      </c>
      <c r="J721" s="1" t="s">
        <v>4779</v>
      </c>
    </row>
    <row r="722" spans="1:10" x14ac:dyDescent="0.25">
      <c r="A722" s="1" t="s">
        <v>5590</v>
      </c>
      <c r="B722" s="1" t="s">
        <v>3878</v>
      </c>
      <c r="C722" s="2">
        <v>44908</v>
      </c>
      <c r="D722" s="34"/>
      <c r="E722" s="34">
        <v>9010</v>
      </c>
      <c r="F722" s="1" t="s">
        <v>3509</v>
      </c>
      <c r="G722" s="1" t="s">
        <v>3510</v>
      </c>
      <c r="H722" s="1" t="s">
        <v>3511</v>
      </c>
      <c r="I722" s="22" t="s">
        <v>3512</v>
      </c>
      <c r="J722" s="1" t="s">
        <v>5706</v>
      </c>
    </row>
    <row r="723" spans="1:10" x14ac:dyDescent="0.25">
      <c r="A723" s="1" t="s">
        <v>5591</v>
      </c>
      <c r="B723" s="1" t="s">
        <v>5704</v>
      </c>
      <c r="C723" s="2">
        <v>44908</v>
      </c>
      <c r="D723" s="34"/>
      <c r="E723" s="34">
        <v>936</v>
      </c>
      <c r="F723" s="1" t="s">
        <v>473</v>
      </c>
      <c r="G723" s="14" t="s">
        <v>3403</v>
      </c>
      <c r="H723" s="1" t="s">
        <v>1109</v>
      </c>
      <c r="I723" s="22" t="s">
        <v>3404</v>
      </c>
      <c r="J723" s="1" t="s">
        <v>5705</v>
      </c>
    </row>
    <row r="724" spans="1:10" x14ac:dyDescent="0.25">
      <c r="A724" s="1" t="s">
        <v>5592</v>
      </c>
      <c r="B724" s="1" t="s">
        <v>5702</v>
      </c>
      <c r="C724" s="2">
        <v>44908</v>
      </c>
      <c r="D724" s="34"/>
      <c r="E724" s="34">
        <v>2450</v>
      </c>
      <c r="F724" s="1" t="s">
        <v>4915</v>
      </c>
      <c r="G724" s="1" t="s">
        <v>3563</v>
      </c>
      <c r="H724" s="1" t="s">
        <v>1128</v>
      </c>
      <c r="I724" s="22" t="s">
        <v>3628</v>
      </c>
      <c r="J724" s="1" t="s">
        <v>5703</v>
      </c>
    </row>
    <row r="725" spans="1:10" x14ac:dyDescent="0.25">
      <c r="A725" s="1" t="s">
        <v>5593</v>
      </c>
      <c r="B725" s="1" t="s">
        <v>5700</v>
      </c>
      <c r="C725" s="2">
        <v>44908</v>
      </c>
      <c r="D725" s="34">
        <v>9</v>
      </c>
      <c r="E725" s="34">
        <v>10.8</v>
      </c>
      <c r="F725" s="1" t="s">
        <v>470</v>
      </c>
      <c r="G725" s="14" t="s">
        <v>3399</v>
      </c>
      <c r="H725" s="1" t="s">
        <v>1101</v>
      </c>
      <c r="I725" s="22" t="s">
        <v>3400</v>
      </c>
      <c r="J725" s="1" t="s">
        <v>5701</v>
      </c>
    </row>
    <row r="726" spans="1:10" x14ac:dyDescent="0.25">
      <c r="A726" s="1" t="s">
        <v>5594</v>
      </c>
      <c r="B726" s="1" t="s">
        <v>5730</v>
      </c>
      <c r="C726" s="2">
        <v>44908</v>
      </c>
      <c r="D726" s="34">
        <v>1820.21</v>
      </c>
      <c r="E726" s="34">
        <v>2184.25</v>
      </c>
      <c r="F726" s="1" t="s">
        <v>468</v>
      </c>
      <c r="G726" s="1" t="s">
        <v>3398</v>
      </c>
      <c r="H726" s="1" t="s">
        <v>1098</v>
      </c>
      <c r="I726" s="22" t="s">
        <v>1189</v>
      </c>
      <c r="J726" s="1" t="s">
        <v>5731</v>
      </c>
    </row>
    <row r="727" spans="1:10" x14ac:dyDescent="0.25">
      <c r="A727" s="1" t="s">
        <v>5595</v>
      </c>
      <c r="B727" s="1" t="s">
        <v>5699</v>
      </c>
      <c r="C727" s="2">
        <v>44908</v>
      </c>
      <c r="D727" s="34">
        <v>57.8</v>
      </c>
      <c r="E727" s="34">
        <v>69.36</v>
      </c>
      <c r="F727" s="1" t="s">
        <v>470</v>
      </c>
      <c r="G727" s="14" t="s">
        <v>3399</v>
      </c>
      <c r="H727" s="1" t="s">
        <v>1101</v>
      </c>
      <c r="I727" s="22" t="s">
        <v>3400</v>
      </c>
      <c r="J727" s="1" t="s">
        <v>5347</v>
      </c>
    </row>
    <row r="728" spans="1:10" x14ac:dyDescent="0.25">
      <c r="A728" s="1" t="s">
        <v>5596</v>
      </c>
      <c r="B728" s="1" t="s">
        <v>5727</v>
      </c>
      <c r="C728" s="2">
        <v>44908</v>
      </c>
      <c r="D728" s="34"/>
      <c r="E728" s="34">
        <v>1792.9</v>
      </c>
      <c r="F728" s="1" t="s">
        <v>486</v>
      </c>
      <c r="G728" s="14" t="s">
        <v>3528</v>
      </c>
      <c r="H728" s="1" t="s">
        <v>1133</v>
      </c>
      <c r="I728" s="22" t="s">
        <v>5728</v>
      </c>
      <c r="J728" s="1" t="s">
        <v>5729</v>
      </c>
    </row>
    <row r="729" spans="1:10" x14ac:dyDescent="0.25">
      <c r="A729" s="1" t="s">
        <v>5597</v>
      </c>
      <c r="B729" s="1" t="s">
        <v>5696</v>
      </c>
      <c r="C729" s="2">
        <v>44908</v>
      </c>
      <c r="D729" s="34">
        <v>354.49</v>
      </c>
      <c r="E729" s="34">
        <v>425.39</v>
      </c>
      <c r="F729" s="1" t="s">
        <v>2799</v>
      </c>
      <c r="G729" s="17" t="s">
        <v>5698</v>
      </c>
      <c r="H729" s="1" t="s">
        <v>2800</v>
      </c>
      <c r="I729" s="22" t="s">
        <v>1108</v>
      </c>
      <c r="J729" s="1" t="s">
        <v>5697</v>
      </c>
    </row>
    <row r="730" spans="1:10" x14ac:dyDescent="0.25">
      <c r="A730" s="1" t="s">
        <v>5598</v>
      </c>
      <c r="B730" s="1" t="s">
        <v>5693</v>
      </c>
      <c r="C730" s="2">
        <v>44908</v>
      </c>
      <c r="D730" s="34"/>
      <c r="E730" s="34">
        <v>1400</v>
      </c>
      <c r="F730" s="1" t="s">
        <v>5637</v>
      </c>
      <c r="G730" s="14" t="s">
        <v>5638</v>
      </c>
      <c r="H730" s="1" t="s">
        <v>5639</v>
      </c>
      <c r="I730" s="22" t="s">
        <v>5694</v>
      </c>
      <c r="J730" s="1" t="s">
        <v>5695</v>
      </c>
    </row>
    <row r="731" spans="1:10" x14ac:dyDescent="0.25">
      <c r="A731" s="1" t="s">
        <v>5599</v>
      </c>
      <c r="B731" s="1" t="s">
        <v>5726</v>
      </c>
      <c r="C731" s="2">
        <v>44908</v>
      </c>
      <c r="D731" s="34">
        <v>2039.99</v>
      </c>
      <c r="E731" s="34">
        <v>2447.9899999999998</v>
      </c>
      <c r="F731" s="1" t="s">
        <v>468</v>
      </c>
      <c r="G731" s="1" t="s">
        <v>3398</v>
      </c>
      <c r="H731" s="1" t="s">
        <v>1098</v>
      </c>
      <c r="I731" s="22" t="s">
        <v>1189</v>
      </c>
      <c r="J731" s="1" t="s">
        <v>5216</v>
      </c>
    </row>
    <row r="732" spans="1:10" x14ac:dyDescent="0.25">
      <c r="A732" s="1" t="s">
        <v>5600</v>
      </c>
      <c r="B732" s="1" t="s">
        <v>5725</v>
      </c>
      <c r="C732" s="2">
        <v>44908</v>
      </c>
      <c r="D732" s="34">
        <v>732.5</v>
      </c>
      <c r="E732" s="34">
        <v>879</v>
      </c>
      <c r="F732" s="1" t="s">
        <v>468</v>
      </c>
      <c r="G732" s="1" t="s">
        <v>3398</v>
      </c>
      <c r="H732" s="1" t="s">
        <v>1098</v>
      </c>
      <c r="I732" s="22" t="s">
        <v>1189</v>
      </c>
      <c r="J732" s="1" t="s">
        <v>4931</v>
      </c>
    </row>
    <row r="733" spans="1:10" x14ac:dyDescent="0.25">
      <c r="A733" s="1" t="s">
        <v>5601</v>
      </c>
      <c r="B733" s="1" t="s">
        <v>5710</v>
      </c>
      <c r="C733" s="2">
        <v>44910</v>
      </c>
      <c r="D733" s="34">
        <v>1238</v>
      </c>
      <c r="E733" s="34">
        <v>1485.6</v>
      </c>
      <c r="F733" s="1" t="s">
        <v>470</v>
      </c>
      <c r="G733" s="14" t="s">
        <v>3399</v>
      </c>
      <c r="H733" s="1" t="s">
        <v>1101</v>
      </c>
      <c r="I733" s="22" t="s">
        <v>5711</v>
      </c>
      <c r="J733" s="1" t="s">
        <v>5712</v>
      </c>
    </row>
    <row r="734" spans="1:10" x14ac:dyDescent="0.25">
      <c r="A734" s="1" t="s">
        <v>5602</v>
      </c>
      <c r="B734" s="1" t="s">
        <v>5691</v>
      </c>
      <c r="C734" s="2">
        <v>44910</v>
      </c>
      <c r="D734" s="34">
        <v>52.32</v>
      </c>
      <c r="E734" s="34">
        <v>62.82</v>
      </c>
      <c r="F734" s="1" t="s">
        <v>467</v>
      </c>
      <c r="G734" s="14" t="s">
        <v>3397</v>
      </c>
      <c r="H734" s="1" t="s">
        <v>1099</v>
      </c>
      <c r="I734" s="22" t="s">
        <v>1117</v>
      </c>
      <c r="J734" s="1" t="s">
        <v>5692</v>
      </c>
    </row>
    <row r="735" spans="1:10" x14ac:dyDescent="0.25">
      <c r="A735" s="1" t="s">
        <v>5603</v>
      </c>
      <c r="B735" s="1" t="s">
        <v>5723</v>
      </c>
      <c r="C735" s="2">
        <v>44910</v>
      </c>
      <c r="D735" s="34">
        <v>12682.5</v>
      </c>
      <c r="E735" s="34">
        <v>15219</v>
      </c>
      <c r="F735" s="1" t="s">
        <v>468</v>
      </c>
      <c r="G735" s="1" t="s">
        <v>3398</v>
      </c>
      <c r="H735" s="1" t="s">
        <v>1098</v>
      </c>
      <c r="I735" s="22" t="s">
        <v>1189</v>
      </c>
      <c r="J735" s="1" t="s">
        <v>5724</v>
      </c>
    </row>
    <row r="736" spans="1:10" x14ac:dyDescent="0.25">
      <c r="A736" s="1" t="s">
        <v>5604</v>
      </c>
      <c r="B736" s="1" t="s">
        <v>5734</v>
      </c>
      <c r="C736" s="2">
        <v>44910</v>
      </c>
      <c r="D736" s="34">
        <v>144.33000000000001</v>
      </c>
      <c r="E736" s="34">
        <v>173.2</v>
      </c>
      <c r="F736" s="1" t="s">
        <v>468</v>
      </c>
      <c r="G736" s="1" t="s">
        <v>3398</v>
      </c>
      <c r="H736" s="1" t="s">
        <v>1098</v>
      </c>
      <c r="I736" s="22" t="s">
        <v>1189</v>
      </c>
      <c r="J736" s="1" t="s">
        <v>2567</v>
      </c>
    </row>
    <row r="737" spans="1:10" x14ac:dyDescent="0.25">
      <c r="A737" s="1" t="s">
        <v>5605</v>
      </c>
      <c r="B737" s="1" t="s">
        <v>5718</v>
      </c>
      <c r="C737" s="2">
        <v>44910</v>
      </c>
      <c r="D737" s="34">
        <v>17.13</v>
      </c>
      <c r="E737" s="34">
        <v>20.56</v>
      </c>
      <c r="F737" s="1" t="s">
        <v>468</v>
      </c>
      <c r="G737" s="1" t="s">
        <v>3398</v>
      </c>
      <c r="H737" s="1" t="s">
        <v>1098</v>
      </c>
      <c r="I737" s="22" t="s">
        <v>1189</v>
      </c>
      <c r="J737" s="1" t="s">
        <v>4761</v>
      </c>
    </row>
    <row r="738" spans="1:10" x14ac:dyDescent="0.25">
      <c r="A738" s="1" t="s">
        <v>5606</v>
      </c>
      <c r="B738" s="1" t="s">
        <v>5719</v>
      </c>
      <c r="C738" s="2">
        <v>44910</v>
      </c>
      <c r="D738" s="34">
        <v>10.11</v>
      </c>
      <c r="E738" s="34">
        <v>12.13</v>
      </c>
      <c r="F738" s="1" t="s">
        <v>468</v>
      </c>
      <c r="G738" s="1" t="s">
        <v>3398</v>
      </c>
      <c r="H738" s="1" t="s">
        <v>1098</v>
      </c>
      <c r="I738" s="22" t="s">
        <v>1189</v>
      </c>
      <c r="J738" s="1" t="s">
        <v>4761</v>
      </c>
    </row>
    <row r="739" spans="1:10" x14ac:dyDescent="0.25">
      <c r="A739" s="1" t="s">
        <v>5607</v>
      </c>
      <c r="B739" s="1" t="s">
        <v>5720</v>
      </c>
      <c r="C739" s="2">
        <v>44911</v>
      </c>
      <c r="D739" s="34">
        <v>9.58</v>
      </c>
      <c r="E739" s="34">
        <v>11.5</v>
      </c>
      <c r="F739" s="1" t="s">
        <v>468</v>
      </c>
      <c r="G739" s="1" t="s">
        <v>3398</v>
      </c>
      <c r="H739" s="1" t="s">
        <v>1098</v>
      </c>
      <c r="I739" s="22" t="s">
        <v>1189</v>
      </c>
      <c r="J739" s="1" t="s">
        <v>4761</v>
      </c>
    </row>
    <row r="740" spans="1:10" x14ac:dyDescent="0.25">
      <c r="A740" s="1" t="s">
        <v>5608</v>
      </c>
      <c r="B740" s="1" t="s">
        <v>5721</v>
      </c>
      <c r="C740" s="2">
        <v>44911</v>
      </c>
      <c r="D740" s="34">
        <v>12195.56</v>
      </c>
      <c r="E740" s="34">
        <v>14634.67</v>
      </c>
      <c r="F740" s="1" t="s">
        <v>475</v>
      </c>
      <c r="G740" s="14" t="s">
        <v>3411</v>
      </c>
      <c r="H740" s="1" t="s">
        <v>1115</v>
      </c>
      <c r="I740" s="22" t="s">
        <v>3412</v>
      </c>
      <c r="J740" s="1" t="s">
        <v>5722</v>
      </c>
    </row>
    <row r="741" spans="1:10" x14ac:dyDescent="0.25">
      <c r="A741" s="1" t="s">
        <v>5609</v>
      </c>
      <c r="B741" s="1" t="s">
        <v>5688</v>
      </c>
      <c r="C741" s="2">
        <v>44911</v>
      </c>
      <c r="D741" s="34">
        <v>76.3</v>
      </c>
      <c r="E741" s="34">
        <v>91.56</v>
      </c>
      <c r="F741" s="1" t="s">
        <v>5033</v>
      </c>
      <c r="G741" s="14" t="s">
        <v>5034</v>
      </c>
      <c r="H741" s="1" t="s">
        <v>5035</v>
      </c>
      <c r="I741" s="22" t="s">
        <v>5689</v>
      </c>
      <c r="J741" s="1" t="s">
        <v>5690</v>
      </c>
    </row>
    <row r="742" spans="1:10" x14ac:dyDescent="0.25">
      <c r="A742" s="1" t="s">
        <v>5610</v>
      </c>
      <c r="B742" s="1" t="s">
        <v>5687</v>
      </c>
      <c r="C742" s="2">
        <v>44911</v>
      </c>
      <c r="D742" s="34"/>
      <c r="E742" s="34">
        <v>24.5</v>
      </c>
      <c r="F742" s="1" t="s">
        <v>5441</v>
      </c>
      <c r="G742" s="1" t="s">
        <v>5067</v>
      </c>
      <c r="H742" s="1"/>
      <c r="I742" s="22"/>
      <c r="J742" s="1" t="s">
        <v>5282</v>
      </c>
    </row>
    <row r="743" spans="1:10" x14ac:dyDescent="0.25">
      <c r="A743" s="1" t="s">
        <v>5611</v>
      </c>
      <c r="B743" s="1" t="s">
        <v>5686</v>
      </c>
      <c r="C743" s="2">
        <v>44911</v>
      </c>
      <c r="D743" s="34"/>
      <c r="E743" s="34">
        <v>16.5</v>
      </c>
      <c r="F743" s="1" t="s">
        <v>5441</v>
      </c>
      <c r="G743" s="1" t="s">
        <v>5067</v>
      </c>
      <c r="H743" s="1"/>
      <c r="I743" s="22"/>
      <c r="J743" s="1" t="s">
        <v>3888</v>
      </c>
    </row>
    <row r="744" spans="1:10" x14ac:dyDescent="0.25">
      <c r="A744" s="1" t="s">
        <v>5612</v>
      </c>
      <c r="B744" s="1" t="s">
        <v>5684</v>
      </c>
      <c r="C744" s="2">
        <v>44914</v>
      </c>
      <c r="D744" s="34"/>
      <c r="E744" s="34">
        <v>136</v>
      </c>
      <c r="F744" s="1" t="s">
        <v>4349</v>
      </c>
      <c r="G744" s="14" t="s">
        <v>4350</v>
      </c>
      <c r="H744" s="1"/>
      <c r="I744" s="22"/>
      <c r="J744" s="1" t="s">
        <v>5685</v>
      </c>
    </row>
    <row r="745" spans="1:10" x14ac:dyDescent="0.25">
      <c r="A745" s="1" t="s">
        <v>5613</v>
      </c>
      <c r="B745" s="1" t="s">
        <v>5682</v>
      </c>
      <c r="C745" s="2">
        <v>44914</v>
      </c>
      <c r="D745" s="34"/>
      <c r="E745" s="34">
        <v>89</v>
      </c>
      <c r="F745" s="1" t="s">
        <v>4349</v>
      </c>
      <c r="G745" s="14" t="s">
        <v>4350</v>
      </c>
      <c r="H745" s="1"/>
      <c r="I745" s="22"/>
      <c r="J745" s="1" t="s">
        <v>5683</v>
      </c>
    </row>
    <row r="746" spans="1:10" x14ac:dyDescent="0.25">
      <c r="A746" s="1" t="s">
        <v>5614</v>
      </c>
      <c r="B746" s="1" t="s">
        <v>5680</v>
      </c>
      <c r="C746" s="2">
        <v>44914</v>
      </c>
      <c r="D746" s="34"/>
      <c r="E746" s="34">
        <v>16.5</v>
      </c>
      <c r="F746" s="1" t="s">
        <v>4349</v>
      </c>
      <c r="G746" s="14" t="s">
        <v>4350</v>
      </c>
      <c r="H746" s="1"/>
      <c r="I746" s="22"/>
      <c r="J746" s="1" t="s">
        <v>5681</v>
      </c>
    </row>
    <row r="747" spans="1:10" x14ac:dyDescent="0.25">
      <c r="A747" s="1" t="s">
        <v>5615</v>
      </c>
      <c r="B747" s="1" t="s">
        <v>5670</v>
      </c>
      <c r="C747" s="2">
        <v>44914</v>
      </c>
      <c r="D747" s="34"/>
      <c r="E747" s="34">
        <v>300</v>
      </c>
      <c r="F747" s="1" t="s">
        <v>5671</v>
      </c>
      <c r="G747" s="14" t="s">
        <v>5672</v>
      </c>
      <c r="H747" s="1" t="s">
        <v>4471</v>
      </c>
      <c r="I747" s="22"/>
      <c r="J747" s="1" t="s">
        <v>5679</v>
      </c>
    </row>
    <row r="748" spans="1:10" x14ac:dyDescent="0.25">
      <c r="A748" s="1" t="s">
        <v>5616</v>
      </c>
      <c r="B748" s="1" t="s">
        <v>5668</v>
      </c>
      <c r="C748" s="2">
        <v>44914</v>
      </c>
      <c r="D748" s="34">
        <v>16.5</v>
      </c>
      <c r="E748" s="34">
        <v>19.8</v>
      </c>
      <c r="F748" s="1" t="s">
        <v>3451</v>
      </c>
      <c r="G748" s="14" t="s">
        <v>3429</v>
      </c>
      <c r="H748" s="1" t="s">
        <v>1124</v>
      </c>
      <c r="I748" s="22" t="s">
        <v>5652</v>
      </c>
      <c r="J748" s="1" t="s">
        <v>5669</v>
      </c>
    </row>
    <row r="749" spans="1:10" x14ac:dyDescent="0.25">
      <c r="A749" s="1" t="s">
        <v>5617</v>
      </c>
      <c r="B749" s="1" t="s">
        <v>5656</v>
      </c>
      <c r="C749" s="2">
        <v>44914</v>
      </c>
      <c r="D749" s="34">
        <v>16.5</v>
      </c>
      <c r="E749" s="34">
        <v>19.8</v>
      </c>
      <c r="F749" s="1" t="s">
        <v>3451</v>
      </c>
      <c r="G749" s="14" t="s">
        <v>3429</v>
      </c>
      <c r="H749" s="1" t="s">
        <v>1124</v>
      </c>
      <c r="I749" s="22" t="s">
        <v>5652</v>
      </c>
      <c r="J749" s="1" t="s">
        <v>5667</v>
      </c>
    </row>
    <row r="750" spans="1:10" x14ac:dyDescent="0.25">
      <c r="A750" s="1" t="s">
        <v>5618</v>
      </c>
      <c r="B750" s="1" t="s">
        <v>5657</v>
      </c>
      <c r="C750" s="2">
        <v>44914</v>
      </c>
      <c r="D750" s="34">
        <v>16.5</v>
      </c>
      <c r="E750" s="34">
        <v>19.8</v>
      </c>
      <c r="F750" s="1" t="s">
        <v>3451</v>
      </c>
      <c r="G750" s="14" t="s">
        <v>3429</v>
      </c>
      <c r="H750" s="1" t="s">
        <v>1124</v>
      </c>
      <c r="I750" s="22" t="s">
        <v>5652</v>
      </c>
      <c r="J750" s="1" t="s">
        <v>5667</v>
      </c>
    </row>
    <row r="751" spans="1:10" x14ac:dyDescent="0.25">
      <c r="A751" s="1" t="s">
        <v>5619</v>
      </c>
      <c r="B751" s="1" t="s">
        <v>5651</v>
      </c>
      <c r="C751" s="2">
        <v>44914</v>
      </c>
      <c r="D751" s="34">
        <v>16.5</v>
      </c>
      <c r="E751" s="34">
        <v>19.8</v>
      </c>
      <c r="F751" s="1" t="s">
        <v>3451</v>
      </c>
      <c r="G751" s="14" t="s">
        <v>3429</v>
      </c>
      <c r="H751" s="1" t="s">
        <v>1124</v>
      </c>
      <c r="I751" s="22" t="s">
        <v>5652</v>
      </c>
      <c r="J751" s="1" t="s">
        <v>5666</v>
      </c>
    </row>
    <row r="752" spans="1:10" x14ac:dyDescent="0.25">
      <c r="A752" s="1" t="s">
        <v>5620</v>
      </c>
      <c r="B752" s="1" t="s">
        <v>4991</v>
      </c>
      <c r="C752" s="2">
        <v>44914</v>
      </c>
      <c r="D752" s="34">
        <v>16.5</v>
      </c>
      <c r="E752" s="34">
        <v>19.8</v>
      </c>
      <c r="F752" s="1" t="s">
        <v>3451</v>
      </c>
      <c r="G752" s="14" t="s">
        <v>3429</v>
      </c>
      <c r="H752" s="1" t="s">
        <v>1124</v>
      </c>
      <c r="I752" s="22" t="s">
        <v>5652</v>
      </c>
      <c r="J752" s="1" t="s">
        <v>5665</v>
      </c>
    </row>
    <row r="753" spans="1:10" x14ac:dyDescent="0.25">
      <c r="A753" s="1" t="s">
        <v>5621</v>
      </c>
      <c r="B753" s="1" t="s">
        <v>5658</v>
      </c>
      <c r="C753" s="2">
        <v>44914</v>
      </c>
      <c r="D753" s="34">
        <v>16.5</v>
      </c>
      <c r="E753" s="34">
        <v>19.8</v>
      </c>
      <c r="F753" s="1" t="s">
        <v>3451</v>
      </c>
      <c r="G753" s="14" t="s">
        <v>3429</v>
      </c>
      <c r="H753" s="1" t="s">
        <v>1124</v>
      </c>
      <c r="I753" s="22" t="s">
        <v>5652</v>
      </c>
      <c r="J753" s="1" t="s">
        <v>5664</v>
      </c>
    </row>
    <row r="754" spans="1:10" x14ac:dyDescent="0.25">
      <c r="A754" s="1" t="s">
        <v>5622</v>
      </c>
      <c r="B754" s="1" t="s">
        <v>5659</v>
      </c>
      <c r="C754" s="2">
        <v>44914</v>
      </c>
      <c r="D754" s="34">
        <v>16.5</v>
      </c>
      <c r="E754" s="34">
        <v>19.8</v>
      </c>
      <c r="F754" s="1" t="s">
        <v>3451</v>
      </c>
      <c r="G754" s="14" t="s">
        <v>3429</v>
      </c>
      <c r="H754" s="1" t="s">
        <v>1124</v>
      </c>
      <c r="I754" s="22" t="s">
        <v>5652</v>
      </c>
      <c r="J754" s="1" t="s">
        <v>5664</v>
      </c>
    </row>
    <row r="755" spans="1:10" x14ac:dyDescent="0.25">
      <c r="A755" s="1" t="s">
        <v>5623</v>
      </c>
      <c r="B755" s="1" t="s">
        <v>5660</v>
      </c>
      <c r="C755" s="2">
        <v>44914</v>
      </c>
      <c r="D755" s="34">
        <v>16.5</v>
      </c>
      <c r="E755" s="34">
        <v>19.8</v>
      </c>
      <c r="F755" s="1" t="s">
        <v>3451</v>
      </c>
      <c r="G755" s="14" t="s">
        <v>3429</v>
      </c>
      <c r="H755" s="1" t="s">
        <v>1124</v>
      </c>
      <c r="I755" s="22" t="s">
        <v>5652</v>
      </c>
      <c r="J755" s="1" t="s">
        <v>5663</v>
      </c>
    </row>
    <row r="756" spans="1:10" x14ac:dyDescent="0.25">
      <c r="A756" s="1" t="s">
        <v>5624</v>
      </c>
      <c r="B756" s="1" t="s">
        <v>5650</v>
      </c>
      <c r="C756" s="2">
        <v>44914</v>
      </c>
      <c r="D756" s="34">
        <v>16.5</v>
      </c>
      <c r="E756" s="34">
        <v>19.8</v>
      </c>
      <c r="F756" s="1" t="s">
        <v>3451</v>
      </c>
      <c r="G756" s="14" t="s">
        <v>3429</v>
      </c>
      <c r="H756" s="1" t="s">
        <v>1124</v>
      </c>
      <c r="I756" s="22" t="s">
        <v>5652</v>
      </c>
      <c r="J756" s="1" t="s">
        <v>5663</v>
      </c>
    </row>
    <row r="757" spans="1:10" x14ac:dyDescent="0.25">
      <c r="A757" s="1" t="s">
        <v>5625</v>
      </c>
      <c r="B757" s="1" t="s">
        <v>5661</v>
      </c>
      <c r="C757" s="2">
        <v>44914</v>
      </c>
      <c r="D757" s="34">
        <v>16.5</v>
      </c>
      <c r="E757" s="34">
        <v>19.8</v>
      </c>
      <c r="F757" s="1" t="s">
        <v>3451</v>
      </c>
      <c r="G757" s="14" t="s">
        <v>3429</v>
      </c>
      <c r="H757" s="1" t="s">
        <v>1124</v>
      </c>
      <c r="I757" s="22" t="s">
        <v>5652</v>
      </c>
      <c r="J757" s="1" t="s">
        <v>5662</v>
      </c>
    </row>
    <row r="758" spans="1:10" x14ac:dyDescent="0.25">
      <c r="A758" s="1" t="s">
        <v>5626</v>
      </c>
      <c r="B758" s="1" t="s">
        <v>5654</v>
      </c>
      <c r="C758" s="2">
        <v>44914</v>
      </c>
      <c r="D758" s="34">
        <v>16.5</v>
      </c>
      <c r="E758" s="34">
        <v>19.8</v>
      </c>
      <c r="F758" s="1" t="s">
        <v>3451</v>
      </c>
      <c r="G758" s="14" t="s">
        <v>3429</v>
      </c>
      <c r="H758" s="1" t="s">
        <v>1124</v>
      </c>
      <c r="I758" s="22" t="s">
        <v>5652</v>
      </c>
      <c r="J758" s="1" t="s">
        <v>5655</v>
      </c>
    </row>
    <row r="759" spans="1:10" x14ac:dyDescent="0.25">
      <c r="A759" s="1" t="s">
        <v>5627</v>
      </c>
      <c r="B759" s="1" t="s">
        <v>5649</v>
      </c>
      <c r="C759" s="2">
        <v>44914</v>
      </c>
      <c r="D759" s="34">
        <v>16.5</v>
      </c>
      <c r="E759" s="34">
        <v>19.8</v>
      </c>
      <c r="F759" s="1" t="s">
        <v>3451</v>
      </c>
      <c r="G759" s="14" t="s">
        <v>3429</v>
      </c>
      <c r="H759" s="1" t="s">
        <v>1124</v>
      </c>
      <c r="I759" s="22" t="s">
        <v>5652</v>
      </c>
      <c r="J759" s="1" t="s">
        <v>5653</v>
      </c>
    </row>
    <row r="760" spans="1:10" x14ac:dyDescent="0.25">
      <c r="A760" s="1" t="s">
        <v>5628</v>
      </c>
      <c r="B760" s="1" t="s">
        <v>5646</v>
      </c>
      <c r="C760" s="2">
        <v>44914</v>
      </c>
      <c r="D760" s="34"/>
      <c r="E760" s="34">
        <v>30</v>
      </c>
      <c r="F760" s="1" t="s">
        <v>2751</v>
      </c>
      <c r="G760" s="14" t="s">
        <v>3515</v>
      </c>
      <c r="H760" s="1" t="s">
        <v>3516</v>
      </c>
      <c r="I760" s="22" t="s">
        <v>5647</v>
      </c>
      <c r="J760" s="1" t="s">
        <v>5648</v>
      </c>
    </row>
    <row r="761" spans="1:10" x14ac:dyDescent="0.25">
      <c r="A761" s="1" t="s">
        <v>5629</v>
      </c>
      <c r="B761" s="1" t="s">
        <v>5636</v>
      </c>
      <c r="C761" s="2">
        <v>44914</v>
      </c>
      <c r="D761" s="34"/>
      <c r="E761" s="34">
        <v>325</v>
      </c>
      <c r="F761" s="1" t="s">
        <v>5637</v>
      </c>
      <c r="G761" s="14" t="s">
        <v>5638</v>
      </c>
      <c r="H761" s="1" t="s">
        <v>5639</v>
      </c>
      <c r="I761" s="22" t="s">
        <v>5640</v>
      </c>
      <c r="J761" s="1" t="s">
        <v>5641</v>
      </c>
    </row>
    <row r="762" spans="1:10" x14ac:dyDescent="0.25">
      <c r="A762" s="1" t="s">
        <v>5630</v>
      </c>
      <c r="B762" s="1" t="s">
        <v>5713</v>
      </c>
      <c r="C762" s="2">
        <v>44915</v>
      </c>
      <c r="D762" s="34">
        <v>984</v>
      </c>
      <c r="E762" s="34">
        <v>1180.8</v>
      </c>
      <c r="F762" s="1" t="s">
        <v>2506</v>
      </c>
      <c r="G762" s="14" t="s">
        <v>4448</v>
      </c>
      <c r="H762" s="1" t="s">
        <v>2507</v>
      </c>
      <c r="I762" s="22" t="s">
        <v>5714</v>
      </c>
      <c r="J762" s="1" t="s">
        <v>5715</v>
      </c>
    </row>
    <row r="763" spans="1:10" x14ac:dyDescent="0.25">
      <c r="A763" s="1" t="s">
        <v>5631</v>
      </c>
      <c r="B763" s="1" t="s">
        <v>5644</v>
      </c>
      <c r="C763" s="2">
        <v>44915</v>
      </c>
      <c r="D763" s="34">
        <v>300</v>
      </c>
      <c r="E763" s="34">
        <v>330</v>
      </c>
      <c r="F763" s="1" t="s">
        <v>4763</v>
      </c>
      <c r="G763" s="14" t="s">
        <v>4764</v>
      </c>
      <c r="H763" s="1" t="s">
        <v>4765</v>
      </c>
      <c r="I763" s="22" t="s">
        <v>4766</v>
      </c>
      <c r="J763" s="1" t="s">
        <v>5645</v>
      </c>
    </row>
    <row r="764" spans="1:10" x14ac:dyDescent="0.25">
      <c r="A764" s="1" t="s">
        <v>5632</v>
      </c>
      <c r="B764" s="1" t="s">
        <v>5643</v>
      </c>
      <c r="C764" s="2">
        <v>44915</v>
      </c>
      <c r="D764" s="34"/>
      <c r="E764" s="34">
        <v>-30</v>
      </c>
      <c r="F764" s="1" t="s">
        <v>4763</v>
      </c>
      <c r="G764" s="14" t="s">
        <v>4764</v>
      </c>
      <c r="H764" s="1" t="s">
        <v>4765</v>
      </c>
      <c r="I764" s="22" t="s">
        <v>4766</v>
      </c>
      <c r="J764" s="1" t="s">
        <v>4767</v>
      </c>
    </row>
    <row r="765" spans="1:10" x14ac:dyDescent="0.25">
      <c r="A765" s="1" t="s">
        <v>5633</v>
      </c>
      <c r="B765" s="1" t="s">
        <v>5642</v>
      </c>
      <c r="C765" s="2">
        <v>44915</v>
      </c>
      <c r="D765" s="34"/>
      <c r="E765" s="34">
        <v>-30</v>
      </c>
      <c r="F765" s="1" t="s">
        <v>4763</v>
      </c>
      <c r="G765" s="14" t="s">
        <v>4764</v>
      </c>
      <c r="H765" s="1" t="s">
        <v>4765</v>
      </c>
      <c r="I765" s="22" t="s">
        <v>4766</v>
      </c>
      <c r="J765" s="1" t="s">
        <v>4769</v>
      </c>
    </row>
    <row r="766" spans="1:10" x14ac:dyDescent="0.25">
      <c r="A766" s="1" t="s">
        <v>5634</v>
      </c>
      <c r="B766" s="1" t="s">
        <v>5716</v>
      </c>
      <c r="C766" s="2">
        <v>44915</v>
      </c>
      <c r="D766" s="34">
        <v>2586.0500000000002</v>
      </c>
      <c r="E766" s="34">
        <v>3103.26</v>
      </c>
      <c r="F766" s="1" t="s">
        <v>3920</v>
      </c>
      <c r="G766" s="14" t="s">
        <v>3921</v>
      </c>
      <c r="H766" s="1" t="s">
        <v>1198</v>
      </c>
      <c r="I766" s="22"/>
      <c r="J766" s="1" t="s">
        <v>5717</v>
      </c>
    </row>
    <row r="767" spans="1:10" x14ac:dyDescent="0.25">
      <c r="A767" s="1" t="s">
        <v>5635</v>
      </c>
      <c r="B767" s="1" t="s">
        <v>5673</v>
      </c>
      <c r="C767" s="2">
        <v>44916</v>
      </c>
      <c r="D767" s="34">
        <v>1994.82</v>
      </c>
      <c r="E767" s="34">
        <v>2393.7800000000002</v>
      </c>
      <c r="F767" s="1" t="s">
        <v>5674</v>
      </c>
      <c r="G767" s="14" t="s">
        <v>5675</v>
      </c>
      <c r="H767" s="1" t="s">
        <v>5676</v>
      </c>
      <c r="I767" s="22" t="s">
        <v>5677</v>
      </c>
      <c r="J767" s="1" t="s">
        <v>5678</v>
      </c>
    </row>
    <row r="768" spans="1:10" x14ac:dyDescent="0.25">
      <c r="A768" s="1" t="s">
        <v>5735</v>
      </c>
      <c r="B768" s="1" t="s">
        <v>5752</v>
      </c>
      <c r="C768" s="2">
        <v>44917</v>
      </c>
      <c r="D768" s="34"/>
      <c r="E768" s="34">
        <v>72</v>
      </c>
      <c r="F768" s="1" t="s">
        <v>3450</v>
      </c>
      <c r="G768" s="1" t="s">
        <v>3452</v>
      </c>
      <c r="H768" s="1" t="s">
        <v>1701</v>
      </c>
      <c r="I768" s="22"/>
      <c r="J768" s="1" t="s">
        <v>5751</v>
      </c>
    </row>
    <row r="769" spans="1:10" x14ac:dyDescent="0.25">
      <c r="A769" s="1" t="s">
        <v>5736</v>
      </c>
      <c r="B769" s="1" t="s">
        <v>5754</v>
      </c>
      <c r="C769" s="2">
        <v>44917</v>
      </c>
      <c r="D769" s="34">
        <v>69</v>
      </c>
      <c r="E769" s="34">
        <v>82.8</v>
      </c>
      <c r="F769" s="1" t="s">
        <v>472</v>
      </c>
      <c r="G769" s="14" t="s">
        <v>3415</v>
      </c>
      <c r="H769" s="1" t="s">
        <v>1151</v>
      </c>
      <c r="I769" s="22" t="s">
        <v>5755</v>
      </c>
      <c r="J769" s="1" t="s">
        <v>5753</v>
      </c>
    </row>
    <row r="770" spans="1:10" x14ac:dyDescent="0.25">
      <c r="A770" s="1" t="s">
        <v>5737</v>
      </c>
      <c r="B770" s="1" t="s">
        <v>5758</v>
      </c>
      <c r="C770" s="2">
        <v>44917</v>
      </c>
      <c r="D770" s="34">
        <v>4180</v>
      </c>
      <c r="E770" s="34">
        <v>5016</v>
      </c>
      <c r="F770" s="1" t="s">
        <v>470</v>
      </c>
      <c r="G770" s="14" t="s">
        <v>3399</v>
      </c>
      <c r="H770" s="1" t="s">
        <v>1101</v>
      </c>
      <c r="I770" s="22" t="s">
        <v>5757</v>
      </c>
      <c r="J770" s="1" t="s">
        <v>5756</v>
      </c>
    </row>
    <row r="771" spans="1:10" x14ac:dyDescent="0.25">
      <c r="A771" s="1" t="s">
        <v>5738</v>
      </c>
      <c r="B771" s="1" t="s">
        <v>5760</v>
      </c>
      <c r="C771" s="2">
        <v>44917</v>
      </c>
      <c r="D771" s="34">
        <v>495</v>
      </c>
      <c r="E771" s="34">
        <v>594</v>
      </c>
      <c r="F771" s="1" t="s">
        <v>470</v>
      </c>
      <c r="G771" s="14" t="s">
        <v>3399</v>
      </c>
      <c r="H771" s="1" t="s">
        <v>1101</v>
      </c>
      <c r="I771" s="22" t="s">
        <v>5761</v>
      </c>
      <c r="J771" s="1" t="s">
        <v>5759</v>
      </c>
    </row>
    <row r="772" spans="1:10" x14ac:dyDescent="0.25">
      <c r="A772" s="1" t="s">
        <v>5739</v>
      </c>
      <c r="B772" s="1" t="s">
        <v>5763</v>
      </c>
      <c r="C772" s="2">
        <v>44917</v>
      </c>
      <c r="D772" s="34"/>
      <c r="E772" s="34">
        <v>49.5</v>
      </c>
      <c r="F772" s="1" t="s">
        <v>5441</v>
      </c>
      <c r="G772" s="1" t="s">
        <v>5067</v>
      </c>
      <c r="H772" s="1"/>
      <c r="I772" s="22"/>
      <c r="J772" s="1" t="s">
        <v>5762</v>
      </c>
    </row>
    <row r="773" spans="1:10" x14ac:dyDescent="0.25">
      <c r="A773" s="1" t="s">
        <v>5740</v>
      </c>
      <c r="B773" s="1" t="s">
        <v>5764</v>
      </c>
      <c r="C773" s="2">
        <v>44917</v>
      </c>
      <c r="D773" s="34"/>
      <c r="E773" s="34">
        <v>16.5</v>
      </c>
      <c r="F773" s="1" t="s">
        <v>5441</v>
      </c>
      <c r="G773" s="1" t="s">
        <v>5067</v>
      </c>
      <c r="H773" s="1"/>
      <c r="I773" s="22"/>
      <c r="J773" s="1" t="s">
        <v>3884</v>
      </c>
    </row>
    <row r="774" spans="1:10" x14ac:dyDescent="0.25">
      <c r="A774" s="1" t="s">
        <v>5741</v>
      </c>
      <c r="B774" s="1" t="s">
        <v>5765</v>
      </c>
      <c r="C774" s="2">
        <v>44917</v>
      </c>
      <c r="D774" s="34"/>
      <c r="E774" s="34">
        <v>49.5</v>
      </c>
      <c r="F774" s="1" t="s">
        <v>5441</v>
      </c>
      <c r="G774" s="1" t="s">
        <v>5067</v>
      </c>
      <c r="H774" s="1"/>
      <c r="I774" s="22"/>
      <c r="J774" s="1" t="s">
        <v>3884</v>
      </c>
    </row>
    <row r="775" spans="1:10" x14ac:dyDescent="0.25">
      <c r="A775" s="1" t="s">
        <v>5742</v>
      </c>
      <c r="B775" s="1" t="s">
        <v>5766</v>
      </c>
      <c r="C775" s="2">
        <v>44917</v>
      </c>
      <c r="D775" s="34"/>
      <c r="E775" s="34">
        <v>16.5</v>
      </c>
      <c r="F775" s="1" t="s">
        <v>4349</v>
      </c>
      <c r="G775" s="14" t="s">
        <v>4350</v>
      </c>
      <c r="H775" s="1"/>
      <c r="I775" s="22"/>
      <c r="J775" s="1" t="s">
        <v>5683</v>
      </c>
    </row>
    <row r="776" spans="1:10" x14ac:dyDescent="0.25">
      <c r="A776" s="1" t="s">
        <v>5743</v>
      </c>
      <c r="B776" s="1" t="s">
        <v>5768</v>
      </c>
      <c r="C776" s="2">
        <v>44917</v>
      </c>
      <c r="D776" s="34">
        <v>-4.8</v>
      </c>
      <c r="E776" s="34">
        <v>-5.76</v>
      </c>
      <c r="F776" s="1" t="s">
        <v>468</v>
      </c>
      <c r="G776" s="1" t="s">
        <v>3398</v>
      </c>
      <c r="H776" s="1" t="s">
        <v>1098</v>
      </c>
      <c r="I776" s="22" t="s">
        <v>1189</v>
      </c>
      <c r="J776" s="1" t="s">
        <v>5767</v>
      </c>
    </row>
    <row r="777" spans="1:10" x14ac:dyDescent="0.25">
      <c r="A777" s="1" t="s">
        <v>5744</v>
      </c>
      <c r="B777" s="1" t="s">
        <v>5769</v>
      </c>
      <c r="C777" s="2">
        <v>44917</v>
      </c>
      <c r="D777" s="34">
        <v>-6.17</v>
      </c>
      <c r="E777" s="34">
        <v>-7.41</v>
      </c>
      <c r="F777" s="1" t="s">
        <v>468</v>
      </c>
      <c r="G777" s="1" t="s">
        <v>3398</v>
      </c>
      <c r="H777" s="1" t="s">
        <v>1098</v>
      </c>
      <c r="I777" s="22" t="s">
        <v>1189</v>
      </c>
      <c r="J777" s="1" t="s">
        <v>5767</v>
      </c>
    </row>
    <row r="778" spans="1:10" x14ac:dyDescent="0.25">
      <c r="A778" s="1" t="s">
        <v>5745</v>
      </c>
      <c r="B778" s="1" t="s">
        <v>5770</v>
      </c>
      <c r="C778" s="2">
        <v>44917</v>
      </c>
      <c r="D778" s="34">
        <v>2.98</v>
      </c>
      <c r="E778" s="34">
        <v>3.58</v>
      </c>
      <c r="F778" s="1" t="s">
        <v>468</v>
      </c>
      <c r="G778" s="1" t="s">
        <v>3398</v>
      </c>
      <c r="H778" s="1" t="s">
        <v>1098</v>
      </c>
      <c r="I778" s="22" t="s">
        <v>1189</v>
      </c>
      <c r="J778" s="1" t="s">
        <v>5767</v>
      </c>
    </row>
    <row r="779" spans="1:10" x14ac:dyDescent="0.25">
      <c r="A779" s="1" t="s">
        <v>5746</v>
      </c>
      <c r="B779" s="1" t="s">
        <v>5771</v>
      </c>
      <c r="C779" s="2">
        <v>44917</v>
      </c>
      <c r="D779" s="34">
        <v>3775.74</v>
      </c>
      <c r="E779" s="34">
        <v>4530.8900000000003</v>
      </c>
      <c r="F779" s="1" t="s">
        <v>468</v>
      </c>
      <c r="G779" s="1" t="s">
        <v>3398</v>
      </c>
      <c r="H779" s="1" t="s">
        <v>1098</v>
      </c>
      <c r="I779" s="22" t="s">
        <v>1189</v>
      </c>
      <c r="J779" s="1" t="s">
        <v>5772</v>
      </c>
    </row>
    <row r="780" spans="1:10" x14ac:dyDescent="0.25">
      <c r="A780" s="1" t="s">
        <v>5747</v>
      </c>
      <c r="B780" s="1" t="s">
        <v>5773</v>
      </c>
      <c r="C780" s="2">
        <v>44917</v>
      </c>
      <c r="D780" s="34">
        <v>25.76</v>
      </c>
      <c r="E780" s="34">
        <v>25.76</v>
      </c>
      <c r="F780" s="1" t="s">
        <v>468</v>
      </c>
      <c r="G780" s="1" t="s">
        <v>3398</v>
      </c>
      <c r="H780" s="1" t="s">
        <v>1098</v>
      </c>
      <c r="I780" s="22" t="s">
        <v>1189</v>
      </c>
      <c r="J780" s="1" t="s">
        <v>5774</v>
      </c>
    </row>
    <row r="781" spans="1:10" x14ac:dyDescent="0.25">
      <c r="A781" s="1" t="s">
        <v>5748</v>
      </c>
      <c r="B781" s="1" t="s">
        <v>5775</v>
      </c>
      <c r="C781" s="2">
        <v>44917</v>
      </c>
      <c r="D781" s="34">
        <v>228.55</v>
      </c>
      <c r="E781" s="34">
        <v>274.26</v>
      </c>
      <c r="F781" s="1" t="s">
        <v>468</v>
      </c>
      <c r="G781" s="1" t="s">
        <v>3398</v>
      </c>
      <c r="H781" s="1" t="s">
        <v>1098</v>
      </c>
      <c r="I781" s="22" t="s">
        <v>1189</v>
      </c>
      <c r="J781" s="1" t="s">
        <v>3619</v>
      </c>
    </row>
    <row r="782" spans="1:10" x14ac:dyDescent="0.25">
      <c r="A782" s="1" t="s">
        <v>5749</v>
      </c>
      <c r="B782" s="1" t="s">
        <v>5776</v>
      </c>
      <c r="C782" s="2">
        <v>44917</v>
      </c>
      <c r="D782" s="34">
        <v>71.5</v>
      </c>
      <c r="E782" s="34">
        <v>85.8</v>
      </c>
      <c r="F782" s="1" t="s">
        <v>468</v>
      </c>
      <c r="G782" s="1" t="s">
        <v>3398</v>
      </c>
      <c r="H782" s="1" t="s">
        <v>1098</v>
      </c>
      <c r="I782" s="22" t="s">
        <v>1189</v>
      </c>
      <c r="J782" s="1" t="s">
        <v>2567</v>
      </c>
    </row>
    <row r="783" spans="1:10" x14ac:dyDescent="0.25">
      <c r="A783" s="1" t="s">
        <v>5750</v>
      </c>
      <c r="B783" s="1" t="s">
        <v>5779</v>
      </c>
      <c r="C783" s="2">
        <v>44917</v>
      </c>
      <c r="D783" s="34">
        <v>2245.6</v>
      </c>
      <c r="E783" s="34">
        <v>2694.72</v>
      </c>
      <c r="F783" s="1" t="s">
        <v>4676</v>
      </c>
      <c r="G783" s="14" t="s">
        <v>4677</v>
      </c>
      <c r="H783" s="1" t="s">
        <v>4678</v>
      </c>
      <c r="I783" s="22" t="s">
        <v>5778</v>
      </c>
      <c r="J783" s="1" t="s">
        <v>5777</v>
      </c>
    </row>
    <row r="784" spans="1:10" x14ac:dyDescent="0.25">
      <c r="A784" s="1" t="s">
        <v>5780</v>
      </c>
      <c r="B784" s="1" t="s">
        <v>5788</v>
      </c>
      <c r="C784" s="2">
        <v>44923</v>
      </c>
      <c r="D784" s="34"/>
      <c r="E784" s="34">
        <v>16.5</v>
      </c>
      <c r="F784" s="1" t="s">
        <v>4349</v>
      </c>
      <c r="G784" s="14" t="s">
        <v>4350</v>
      </c>
      <c r="H784" s="1"/>
      <c r="I784" s="22"/>
      <c r="J784" s="1" t="s">
        <v>5681</v>
      </c>
    </row>
    <row r="785" spans="1:10" x14ac:dyDescent="0.25">
      <c r="A785" s="1" t="s">
        <v>5781</v>
      </c>
      <c r="B785" s="1" t="s">
        <v>5782</v>
      </c>
      <c r="C785" s="2">
        <v>44923</v>
      </c>
      <c r="D785" s="34">
        <v>40252.43</v>
      </c>
      <c r="E785" s="34">
        <v>48302.92</v>
      </c>
      <c r="F785" s="1" t="s">
        <v>5783</v>
      </c>
      <c r="G785" s="14" t="s">
        <v>5784</v>
      </c>
      <c r="H785" s="1" t="s">
        <v>5785</v>
      </c>
      <c r="I785" s="22" t="s">
        <v>5786</v>
      </c>
      <c r="J785" s="1" t="s">
        <v>5787</v>
      </c>
    </row>
    <row r="786" spans="1:10" x14ac:dyDescent="0.25">
      <c r="A786" s="1" t="s">
        <v>5795</v>
      </c>
      <c r="B786" s="1" t="s">
        <v>5818</v>
      </c>
      <c r="C786" s="2">
        <v>44925</v>
      </c>
      <c r="D786" s="34">
        <v>89</v>
      </c>
      <c r="E786" s="34">
        <v>106.8</v>
      </c>
      <c r="F786" s="1" t="s">
        <v>468</v>
      </c>
      <c r="G786" s="1" t="s">
        <v>3398</v>
      </c>
      <c r="H786" s="1" t="s">
        <v>1098</v>
      </c>
      <c r="I786" s="22" t="s">
        <v>1189</v>
      </c>
      <c r="J786" s="1" t="s">
        <v>5819</v>
      </c>
    </row>
    <row r="787" spans="1:10" x14ac:dyDescent="0.25">
      <c r="A787" s="1" t="s">
        <v>5796</v>
      </c>
      <c r="B787" s="1" t="s">
        <v>5820</v>
      </c>
      <c r="C787" s="2">
        <v>44925</v>
      </c>
      <c r="D787" s="34"/>
      <c r="E787" s="34">
        <v>361</v>
      </c>
      <c r="F787" s="1" t="s">
        <v>4349</v>
      </c>
      <c r="G787" s="14" t="s">
        <v>4350</v>
      </c>
      <c r="H787" s="1"/>
      <c r="I787" s="22"/>
      <c r="J787" s="1" t="s">
        <v>5821</v>
      </c>
    </row>
    <row r="788" spans="1:10" x14ac:dyDescent="0.25">
      <c r="A788" s="1" t="s">
        <v>5797</v>
      </c>
      <c r="B788" s="1" t="s">
        <v>5822</v>
      </c>
      <c r="C788" s="2">
        <v>44925</v>
      </c>
      <c r="D788" s="34">
        <v>784.17</v>
      </c>
      <c r="E788" s="34">
        <v>941</v>
      </c>
      <c r="F788" s="1" t="s">
        <v>5824</v>
      </c>
      <c r="G788" s="14" t="s">
        <v>5893</v>
      </c>
      <c r="H788" s="1" t="s">
        <v>5894</v>
      </c>
      <c r="I788" s="22" t="s">
        <v>5866</v>
      </c>
      <c r="J788" s="1" t="s">
        <v>5825</v>
      </c>
    </row>
    <row r="789" spans="1:10" x14ac:dyDescent="0.25">
      <c r="A789" s="1" t="s">
        <v>5798</v>
      </c>
      <c r="B789" s="1" t="s">
        <v>5823</v>
      </c>
      <c r="C789" s="2">
        <v>44925</v>
      </c>
      <c r="D789" s="34">
        <v>90</v>
      </c>
      <c r="E789" s="34">
        <v>108</v>
      </c>
      <c r="F789" s="1" t="s">
        <v>5824</v>
      </c>
      <c r="G789" s="14" t="s">
        <v>5893</v>
      </c>
      <c r="H789" s="1" t="s">
        <v>5894</v>
      </c>
      <c r="I789" s="22" t="s">
        <v>5865</v>
      </c>
      <c r="J789" s="1" t="s">
        <v>5826</v>
      </c>
    </row>
    <row r="790" spans="1:10" x14ac:dyDescent="0.25">
      <c r="A790" s="1" t="s">
        <v>5799</v>
      </c>
      <c r="B790" s="1" t="s">
        <v>5827</v>
      </c>
      <c r="C790" s="2">
        <v>44925</v>
      </c>
      <c r="D790" s="34">
        <v>56</v>
      </c>
      <c r="E790" s="34">
        <v>67.2</v>
      </c>
      <c r="F790" s="1" t="s">
        <v>4516</v>
      </c>
      <c r="G790" s="1" t="s">
        <v>4517</v>
      </c>
      <c r="H790" s="1" t="s">
        <v>4518</v>
      </c>
      <c r="I790" s="22" t="s">
        <v>5864</v>
      </c>
      <c r="J790" s="1" t="s">
        <v>5828</v>
      </c>
    </row>
    <row r="791" spans="1:10" x14ac:dyDescent="0.25">
      <c r="A791" s="1" t="s">
        <v>5800</v>
      </c>
      <c r="B791" s="1" t="s">
        <v>5829</v>
      </c>
      <c r="C791" s="2">
        <v>44925</v>
      </c>
      <c r="D791" s="34">
        <v>254.17</v>
      </c>
      <c r="E791" s="34">
        <v>305</v>
      </c>
      <c r="F791" s="1" t="s">
        <v>468</v>
      </c>
      <c r="G791" s="1" t="s">
        <v>3398</v>
      </c>
      <c r="H791" s="1" t="s">
        <v>1098</v>
      </c>
      <c r="I791" s="22" t="s">
        <v>1189</v>
      </c>
      <c r="J791" s="1" t="s">
        <v>5830</v>
      </c>
    </row>
    <row r="792" spans="1:10" x14ac:dyDescent="0.25">
      <c r="A792" s="1" t="s">
        <v>5801</v>
      </c>
      <c r="B792" s="1" t="s">
        <v>5831</v>
      </c>
      <c r="C792" s="2">
        <v>44925</v>
      </c>
      <c r="D792" s="34">
        <v>3415.83</v>
      </c>
      <c r="E792" s="34">
        <v>4099</v>
      </c>
      <c r="F792" s="1" t="s">
        <v>468</v>
      </c>
      <c r="G792" s="1" t="s">
        <v>3398</v>
      </c>
      <c r="H792" s="1" t="s">
        <v>1098</v>
      </c>
      <c r="I792" s="22" t="s">
        <v>1189</v>
      </c>
      <c r="J792" s="1" t="s">
        <v>5832</v>
      </c>
    </row>
    <row r="793" spans="1:10" x14ac:dyDescent="0.25">
      <c r="A793" s="1" t="s">
        <v>5802</v>
      </c>
      <c r="B793" s="1" t="s">
        <v>5833</v>
      </c>
      <c r="C793" s="2">
        <v>44925</v>
      </c>
      <c r="D793" s="34">
        <v>20033</v>
      </c>
      <c r="E793" s="34">
        <v>24039.599999999999</v>
      </c>
      <c r="F793" s="1" t="s">
        <v>468</v>
      </c>
      <c r="G793" s="1" t="s">
        <v>3398</v>
      </c>
      <c r="H793" s="1" t="s">
        <v>1098</v>
      </c>
      <c r="I793" s="22" t="s">
        <v>1189</v>
      </c>
      <c r="J793" s="1" t="s">
        <v>5834</v>
      </c>
    </row>
    <row r="794" spans="1:10" x14ac:dyDescent="0.25">
      <c r="A794" s="1" t="s">
        <v>5803</v>
      </c>
      <c r="B794" s="1" t="s">
        <v>5835</v>
      </c>
      <c r="C794" s="2">
        <v>44925</v>
      </c>
      <c r="D794" s="34">
        <v>1476</v>
      </c>
      <c r="E794" s="34">
        <v>1771.2</v>
      </c>
      <c r="F794" s="1" t="s">
        <v>4516</v>
      </c>
      <c r="G794" s="1" t="s">
        <v>4517</v>
      </c>
      <c r="H794" s="1" t="s">
        <v>4518</v>
      </c>
      <c r="I794" s="22" t="s">
        <v>4519</v>
      </c>
      <c r="J794" s="1" t="s">
        <v>5837</v>
      </c>
    </row>
    <row r="795" spans="1:10" x14ac:dyDescent="0.25">
      <c r="A795" s="1" t="s">
        <v>5804</v>
      </c>
      <c r="B795" s="1" t="s">
        <v>5836</v>
      </c>
      <c r="C795" s="2">
        <v>44925</v>
      </c>
      <c r="D795" s="6">
        <v>1476</v>
      </c>
      <c r="E795" s="6">
        <v>1771.2</v>
      </c>
      <c r="F795" s="1" t="s">
        <v>4516</v>
      </c>
      <c r="G795" s="1" t="s">
        <v>4517</v>
      </c>
      <c r="H795" s="1" t="s">
        <v>4518</v>
      </c>
      <c r="I795" s="22" t="s">
        <v>4522</v>
      </c>
      <c r="J795" s="1" t="s">
        <v>5838</v>
      </c>
    </row>
    <row r="796" spans="1:10" x14ac:dyDescent="0.25">
      <c r="A796" s="1" t="s">
        <v>5805</v>
      </c>
      <c r="B796" s="1" t="s">
        <v>5839</v>
      </c>
      <c r="C796" s="2">
        <v>44925</v>
      </c>
      <c r="D796" s="34">
        <v>2064.4699999999998</v>
      </c>
      <c r="E796" s="34">
        <v>2477.36</v>
      </c>
      <c r="F796" s="1" t="s">
        <v>470</v>
      </c>
      <c r="G796" s="1" t="s">
        <v>3399</v>
      </c>
      <c r="H796" s="1" t="s">
        <v>1101</v>
      </c>
      <c r="I796" s="22" t="s">
        <v>3400</v>
      </c>
      <c r="J796" s="1" t="s">
        <v>5840</v>
      </c>
    </row>
    <row r="797" spans="1:10" x14ac:dyDescent="0.25">
      <c r="A797" s="1" t="s">
        <v>5806</v>
      </c>
      <c r="B797" s="1" t="s">
        <v>5841</v>
      </c>
      <c r="C797" s="2">
        <v>44925</v>
      </c>
      <c r="D797" s="34">
        <v>209.5</v>
      </c>
      <c r="E797" s="34">
        <v>251.4</v>
      </c>
      <c r="F797" s="1" t="s">
        <v>470</v>
      </c>
      <c r="G797" s="1" t="s">
        <v>3399</v>
      </c>
      <c r="H797" s="1" t="s">
        <v>1101</v>
      </c>
      <c r="I797" s="22" t="s">
        <v>3400</v>
      </c>
      <c r="J797" s="1" t="s">
        <v>4654</v>
      </c>
    </row>
    <row r="798" spans="1:10" x14ac:dyDescent="0.25">
      <c r="A798" s="1" t="s">
        <v>5807</v>
      </c>
      <c r="B798" s="1" t="s">
        <v>5842</v>
      </c>
      <c r="C798" s="2">
        <v>44925</v>
      </c>
      <c r="D798" s="34">
        <v>850.3</v>
      </c>
      <c r="E798" s="34">
        <v>1020.36</v>
      </c>
      <c r="F798" s="1" t="s">
        <v>466</v>
      </c>
      <c r="G798" s="14" t="s">
        <v>3406</v>
      </c>
      <c r="H798" s="1" t="s">
        <v>1105</v>
      </c>
      <c r="I798" s="22" t="s">
        <v>5843</v>
      </c>
      <c r="J798" s="1" t="s">
        <v>5844</v>
      </c>
    </row>
    <row r="799" spans="1:10" x14ac:dyDescent="0.25">
      <c r="A799" s="1" t="s">
        <v>5808</v>
      </c>
      <c r="B799" s="1" t="s">
        <v>5845</v>
      </c>
      <c r="C799" s="2">
        <v>44925</v>
      </c>
      <c r="D799" s="34">
        <v>500.6</v>
      </c>
      <c r="E799" s="34">
        <v>600.72</v>
      </c>
      <c r="F799" s="1" t="s">
        <v>466</v>
      </c>
      <c r="G799" s="14" t="s">
        <v>3406</v>
      </c>
      <c r="H799" s="1" t="s">
        <v>1105</v>
      </c>
      <c r="I799" s="22" t="s">
        <v>5846</v>
      </c>
      <c r="J799" s="1" t="s">
        <v>5844</v>
      </c>
    </row>
    <row r="800" spans="1:10" x14ac:dyDescent="0.25">
      <c r="A800" s="1" t="s">
        <v>5809</v>
      </c>
      <c r="B800" s="1" t="s">
        <v>5847</v>
      </c>
      <c r="C800" s="2">
        <v>44926</v>
      </c>
      <c r="D800" s="34">
        <v>1212.5</v>
      </c>
      <c r="E800" s="34">
        <v>1455</v>
      </c>
      <c r="F800" s="1" t="s">
        <v>5116</v>
      </c>
      <c r="G800" s="14" t="s">
        <v>5117</v>
      </c>
      <c r="H800" s="1" t="s">
        <v>5118</v>
      </c>
      <c r="I800" s="22" t="s">
        <v>5849</v>
      </c>
      <c r="J800" s="1" t="s">
        <v>5848</v>
      </c>
    </row>
    <row r="801" spans="1:10" x14ac:dyDescent="0.25">
      <c r="A801" s="1" t="s">
        <v>5810</v>
      </c>
      <c r="B801" s="1" t="s">
        <v>5649</v>
      </c>
      <c r="C801" s="2">
        <v>44926</v>
      </c>
      <c r="D801" s="34">
        <v>870.8</v>
      </c>
      <c r="E801" s="34">
        <v>1044.96</v>
      </c>
      <c r="F801" s="1" t="s">
        <v>5824</v>
      </c>
      <c r="G801" s="14" t="s">
        <v>5893</v>
      </c>
      <c r="H801" s="1" t="s">
        <v>5894</v>
      </c>
      <c r="I801" s="22" t="s">
        <v>5851</v>
      </c>
      <c r="J801" s="1" t="s">
        <v>5850</v>
      </c>
    </row>
    <row r="802" spans="1:10" x14ac:dyDescent="0.25">
      <c r="A802" s="1" t="s">
        <v>5811</v>
      </c>
      <c r="B802" s="1" t="s">
        <v>5852</v>
      </c>
      <c r="C802" s="2">
        <v>44926</v>
      </c>
      <c r="D802" s="34">
        <v>165.96</v>
      </c>
      <c r="E802" s="34">
        <v>199.15</v>
      </c>
      <c r="F802" s="1" t="s">
        <v>466</v>
      </c>
      <c r="G802" s="14" t="s">
        <v>3406</v>
      </c>
      <c r="H802" s="1" t="s">
        <v>1105</v>
      </c>
      <c r="I802" s="22" t="s">
        <v>4501</v>
      </c>
      <c r="J802" s="1" t="s">
        <v>5853</v>
      </c>
    </row>
    <row r="803" spans="1:10" x14ac:dyDescent="0.25">
      <c r="A803" s="1" t="s">
        <v>5812</v>
      </c>
      <c r="B803" s="1" t="s">
        <v>5854</v>
      </c>
      <c r="C803" s="2">
        <v>44926</v>
      </c>
      <c r="D803" s="34">
        <v>395</v>
      </c>
      <c r="E803" s="34">
        <v>474</v>
      </c>
      <c r="F803" s="1" t="s">
        <v>468</v>
      </c>
      <c r="G803" s="1" t="s">
        <v>3398</v>
      </c>
      <c r="H803" s="1" t="s">
        <v>1098</v>
      </c>
      <c r="I803" s="22" t="s">
        <v>1189</v>
      </c>
      <c r="J803" s="1" t="s">
        <v>3386</v>
      </c>
    </row>
    <row r="804" spans="1:10" x14ac:dyDescent="0.25">
      <c r="A804" s="1" t="s">
        <v>5813</v>
      </c>
      <c r="B804" s="1" t="s">
        <v>5855</v>
      </c>
      <c r="C804" s="2">
        <v>44926</v>
      </c>
      <c r="D804" s="34">
        <v>-6.18</v>
      </c>
      <c r="E804" s="34">
        <v>-7.42</v>
      </c>
      <c r="F804" s="1" t="s">
        <v>468</v>
      </c>
      <c r="G804" s="1" t="s">
        <v>3398</v>
      </c>
      <c r="H804" s="1" t="s">
        <v>1098</v>
      </c>
      <c r="I804" s="22" t="s">
        <v>1189</v>
      </c>
      <c r="J804" s="1" t="s">
        <v>5767</v>
      </c>
    </row>
    <row r="805" spans="1:10" x14ac:dyDescent="0.25">
      <c r="A805" s="1" t="s">
        <v>5814</v>
      </c>
      <c r="B805" s="1" t="s">
        <v>5856</v>
      </c>
      <c r="C805" s="2">
        <v>44926</v>
      </c>
      <c r="D805" s="34">
        <v>80.08</v>
      </c>
      <c r="E805" s="34">
        <v>96.1</v>
      </c>
      <c r="F805" s="1" t="s">
        <v>468</v>
      </c>
      <c r="G805" s="1" t="s">
        <v>3398</v>
      </c>
      <c r="H805" s="1" t="s">
        <v>1098</v>
      </c>
      <c r="I805" s="22" t="s">
        <v>1189</v>
      </c>
      <c r="J805" s="1" t="s">
        <v>5857</v>
      </c>
    </row>
    <row r="806" spans="1:10" x14ac:dyDescent="0.25">
      <c r="A806" s="1" t="s">
        <v>5815</v>
      </c>
      <c r="B806" s="1" t="s">
        <v>5782</v>
      </c>
      <c r="C806" s="2">
        <v>44926</v>
      </c>
      <c r="D806" s="34">
        <v>1174.17</v>
      </c>
      <c r="E806" s="34">
        <v>1409</v>
      </c>
      <c r="F806" s="1" t="s">
        <v>5824</v>
      </c>
      <c r="G806" s="14" t="s">
        <v>5893</v>
      </c>
      <c r="H806" s="1" t="s">
        <v>5894</v>
      </c>
      <c r="I806" s="22" t="s">
        <v>5859</v>
      </c>
      <c r="J806" s="1" t="s">
        <v>5858</v>
      </c>
    </row>
    <row r="807" spans="1:10" x14ac:dyDescent="0.25">
      <c r="A807" s="1" t="s">
        <v>5816</v>
      </c>
      <c r="B807" s="1" t="s">
        <v>5860</v>
      </c>
      <c r="C807" s="2">
        <v>44926</v>
      </c>
      <c r="D807" s="34">
        <v>936</v>
      </c>
      <c r="E807" s="34">
        <v>1123.2</v>
      </c>
      <c r="F807" s="1" t="s">
        <v>473</v>
      </c>
      <c r="G807" s="14" t="s">
        <v>3403</v>
      </c>
      <c r="H807" s="1" t="s">
        <v>1109</v>
      </c>
      <c r="I807" s="22" t="s">
        <v>3404</v>
      </c>
      <c r="J807" s="1" t="s">
        <v>5861</v>
      </c>
    </row>
    <row r="808" spans="1:10" x14ac:dyDescent="0.25">
      <c r="A808" s="1" t="s">
        <v>5817</v>
      </c>
      <c r="B808" s="1" t="s">
        <v>5862</v>
      </c>
      <c r="C808" s="2">
        <v>44926</v>
      </c>
      <c r="D808" s="34">
        <v>51.2</v>
      </c>
      <c r="E808" s="34">
        <v>61.44</v>
      </c>
      <c r="F808" s="1" t="s">
        <v>468</v>
      </c>
      <c r="G808" s="1" t="s">
        <v>3398</v>
      </c>
      <c r="H808" s="1" t="s">
        <v>1098</v>
      </c>
      <c r="I808" s="22" t="s">
        <v>1189</v>
      </c>
      <c r="J808" s="1" t="s">
        <v>5863</v>
      </c>
    </row>
    <row r="809" spans="1:10" x14ac:dyDescent="0.25">
      <c r="A809" s="1" t="s">
        <v>5867</v>
      </c>
      <c r="B809" s="1" t="s">
        <v>5878</v>
      </c>
      <c r="C809" s="2">
        <v>44926</v>
      </c>
      <c r="D809" s="34">
        <v>26.4</v>
      </c>
      <c r="E809" s="34">
        <v>26.4</v>
      </c>
      <c r="F809" s="1" t="s">
        <v>468</v>
      </c>
      <c r="G809" s="1" t="s">
        <v>3398</v>
      </c>
      <c r="H809" s="1" t="s">
        <v>1098</v>
      </c>
      <c r="I809" s="22" t="s">
        <v>1189</v>
      </c>
      <c r="J809" s="1" t="s">
        <v>5879</v>
      </c>
    </row>
    <row r="810" spans="1:10" x14ac:dyDescent="0.25">
      <c r="A810" s="1" t="s">
        <v>5868</v>
      </c>
      <c r="B810" s="1" t="s">
        <v>5877</v>
      </c>
      <c r="C810" s="2">
        <v>44926</v>
      </c>
      <c r="D810" s="34">
        <v>110.6</v>
      </c>
      <c r="E810" s="34">
        <v>132.72</v>
      </c>
      <c r="F810" s="1" t="s">
        <v>468</v>
      </c>
      <c r="G810" s="1" t="s">
        <v>3398</v>
      </c>
      <c r="H810" s="1" t="s">
        <v>1098</v>
      </c>
      <c r="I810" s="22" t="s">
        <v>1189</v>
      </c>
      <c r="J810" s="1" t="s">
        <v>5880</v>
      </c>
    </row>
    <row r="811" spans="1:10" x14ac:dyDescent="0.25">
      <c r="A811" s="1" t="s">
        <v>5869</v>
      </c>
      <c r="B811" s="1" t="s">
        <v>5882</v>
      </c>
      <c r="C811" s="2">
        <v>44926</v>
      </c>
      <c r="D811" s="34">
        <v>912.57</v>
      </c>
      <c r="E811" s="34">
        <v>1095.08</v>
      </c>
      <c r="F811" s="1" t="s">
        <v>468</v>
      </c>
      <c r="G811" s="1" t="s">
        <v>3398</v>
      </c>
      <c r="H811" s="1" t="s">
        <v>1098</v>
      </c>
      <c r="I811" s="22" t="s">
        <v>1189</v>
      </c>
      <c r="J811" s="1" t="s">
        <v>5881</v>
      </c>
    </row>
    <row r="812" spans="1:10" x14ac:dyDescent="0.25">
      <c r="A812" s="1" t="s">
        <v>5870</v>
      </c>
      <c r="B812" s="1" t="s">
        <v>5883</v>
      </c>
      <c r="C812" s="2">
        <v>44926</v>
      </c>
      <c r="D812" s="34">
        <v>226.35</v>
      </c>
      <c r="E812" s="34">
        <v>271.62</v>
      </c>
      <c r="F812" s="1" t="s">
        <v>468</v>
      </c>
      <c r="G812" s="1" t="s">
        <v>3398</v>
      </c>
      <c r="H812" s="1" t="s">
        <v>1098</v>
      </c>
      <c r="I812" s="22" t="s">
        <v>1189</v>
      </c>
      <c r="J812" s="1" t="s">
        <v>3619</v>
      </c>
    </row>
    <row r="813" spans="1:10" x14ac:dyDescent="0.25">
      <c r="A813" s="1" t="s">
        <v>5871</v>
      </c>
      <c r="B813" s="1" t="s">
        <v>5884</v>
      </c>
      <c r="C813" s="2">
        <v>44926</v>
      </c>
      <c r="D813" s="34">
        <v>108.47</v>
      </c>
      <c r="E813" s="34">
        <v>130.16999999999999</v>
      </c>
      <c r="F813" s="1" t="s">
        <v>468</v>
      </c>
      <c r="G813" s="1" t="s">
        <v>3398</v>
      </c>
      <c r="H813" s="1" t="s">
        <v>1098</v>
      </c>
      <c r="I813" s="22" t="s">
        <v>1189</v>
      </c>
      <c r="J813" s="1" t="s">
        <v>5885</v>
      </c>
    </row>
    <row r="814" spans="1:10" x14ac:dyDescent="0.25">
      <c r="A814" s="1" t="s">
        <v>5872</v>
      </c>
      <c r="B814" s="1" t="s">
        <v>5886</v>
      </c>
      <c r="C814" s="2">
        <v>44926</v>
      </c>
      <c r="D814" s="34">
        <v>8967.41</v>
      </c>
      <c r="E814" s="34">
        <v>10760.89</v>
      </c>
      <c r="F814" s="1" t="s">
        <v>468</v>
      </c>
      <c r="G814" s="1" t="s">
        <v>3398</v>
      </c>
      <c r="H814" s="1" t="s">
        <v>1098</v>
      </c>
      <c r="I814" s="22" t="s">
        <v>1189</v>
      </c>
      <c r="J814" s="1" t="s">
        <v>5887</v>
      </c>
    </row>
    <row r="815" spans="1:10" x14ac:dyDescent="0.25">
      <c r="A815" s="1" t="s">
        <v>5873</v>
      </c>
      <c r="B815" s="1" t="s">
        <v>5888</v>
      </c>
      <c r="C815" s="2">
        <v>44926</v>
      </c>
      <c r="D815" s="34">
        <v>21.87</v>
      </c>
      <c r="E815" s="34">
        <v>26.24</v>
      </c>
      <c r="F815" s="1" t="s">
        <v>468</v>
      </c>
      <c r="G815" s="1" t="s">
        <v>3398</v>
      </c>
      <c r="H815" s="1" t="s">
        <v>1098</v>
      </c>
      <c r="I815" s="22" t="s">
        <v>1189</v>
      </c>
      <c r="J815" s="1" t="s">
        <v>5767</v>
      </c>
    </row>
    <row r="816" spans="1:10" x14ac:dyDescent="0.25">
      <c r="A816" s="1" t="s">
        <v>5874</v>
      </c>
      <c r="B816" s="1" t="s">
        <v>5889</v>
      </c>
      <c r="C816" s="2">
        <v>44926</v>
      </c>
      <c r="D816" s="34">
        <v>104.49</v>
      </c>
      <c r="E816" s="34">
        <v>125.39</v>
      </c>
      <c r="F816" s="1" t="s">
        <v>468</v>
      </c>
      <c r="G816" s="1" t="s">
        <v>3398</v>
      </c>
      <c r="H816" s="1" t="s">
        <v>1098</v>
      </c>
      <c r="I816" s="22" t="s">
        <v>1189</v>
      </c>
      <c r="J816" s="1" t="s">
        <v>5767</v>
      </c>
    </row>
    <row r="817" spans="1:10" x14ac:dyDescent="0.25">
      <c r="A817" s="1" t="s">
        <v>5875</v>
      </c>
      <c r="B817" s="1" t="s">
        <v>5890</v>
      </c>
      <c r="C817" s="2">
        <v>44926</v>
      </c>
      <c r="D817" s="34">
        <v>2357.34</v>
      </c>
      <c r="E817" s="34">
        <v>2828.81</v>
      </c>
      <c r="F817" s="1" t="s">
        <v>468</v>
      </c>
      <c r="G817" s="1" t="s">
        <v>3398</v>
      </c>
      <c r="H817" s="1" t="s">
        <v>1098</v>
      </c>
      <c r="I817" s="22" t="s">
        <v>1189</v>
      </c>
      <c r="J817" s="1" t="s">
        <v>5891</v>
      </c>
    </row>
    <row r="818" spans="1:10" x14ac:dyDescent="0.25">
      <c r="A818" s="1" t="s">
        <v>5876</v>
      </c>
      <c r="B818" s="1" t="s">
        <v>5892</v>
      </c>
      <c r="C818" s="2">
        <v>44926</v>
      </c>
      <c r="D818" s="34">
        <v>16963.37</v>
      </c>
      <c r="E818" s="34">
        <v>20356.04</v>
      </c>
      <c r="F818" s="1" t="s">
        <v>468</v>
      </c>
      <c r="G818" s="1" t="s">
        <v>3398</v>
      </c>
      <c r="H818" s="1" t="s">
        <v>1098</v>
      </c>
      <c r="I818" s="22" t="s">
        <v>1189</v>
      </c>
      <c r="J818" s="1" t="s">
        <v>5857</v>
      </c>
    </row>
    <row r="819" spans="1:10" x14ac:dyDescent="0.25">
      <c r="A819" s="1" t="s">
        <v>5895</v>
      </c>
      <c r="B819" s="1" t="s">
        <v>5897</v>
      </c>
      <c r="C819" s="2">
        <v>44926</v>
      </c>
      <c r="D819" s="34">
        <v>11454.43</v>
      </c>
      <c r="E819" s="34">
        <v>13745.31</v>
      </c>
      <c r="F819" s="1" t="s">
        <v>475</v>
      </c>
      <c r="G819" s="14" t="s">
        <v>3411</v>
      </c>
      <c r="H819" s="1" t="s">
        <v>1115</v>
      </c>
      <c r="I819" s="22" t="s">
        <v>3412</v>
      </c>
      <c r="J819" s="1" t="s">
        <v>5896</v>
      </c>
    </row>
    <row r="820" spans="1:10" x14ac:dyDescent="0.25">
      <c r="A820" s="1" t="s">
        <v>5898</v>
      </c>
      <c r="B820" s="1" t="s">
        <v>5902</v>
      </c>
      <c r="C820" s="2">
        <v>44926</v>
      </c>
      <c r="D820" s="34">
        <v>2551.83</v>
      </c>
      <c r="E820" s="34">
        <v>3062.2</v>
      </c>
      <c r="F820" s="1" t="s">
        <v>468</v>
      </c>
      <c r="G820" s="1" t="s">
        <v>3398</v>
      </c>
      <c r="H820" s="1" t="s">
        <v>1098</v>
      </c>
      <c r="I820" s="22" t="s">
        <v>1189</v>
      </c>
      <c r="J820" s="1" t="s">
        <v>5903</v>
      </c>
    </row>
    <row r="821" spans="1:10" x14ac:dyDescent="0.25">
      <c r="A821" s="1" t="s">
        <v>5899</v>
      </c>
      <c r="B821" s="1" t="s">
        <v>5904</v>
      </c>
      <c r="C821" s="2">
        <v>44926</v>
      </c>
      <c r="D821" s="34">
        <v>374.98</v>
      </c>
      <c r="E821" s="34">
        <v>449.98</v>
      </c>
      <c r="F821" s="1" t="s">
        <v>468</v>
      </c>
      <c r="G821" s="1" t="s">
        <v>3398</v>
      </c>
      <c r="H821" s="1" t="s">
        <v>1098</v>
      </c>
      <c r="I821" s="22" t="s">
        <v>1189</v>
      </c>
      <c r="J821" s="1" t="s">
        <v>4761</v>
      </c>
    </row>
    <row r="822" spans="1:10" x14ac:dyDescent="0.25">
      <c r="A822" s="1" t="s">
        <v>5900</v>
      </c>
      <c r="B822" s="1" t="s">
        <v>5905</v>
      </c>
      <c r="C822" s="2">
        <v>44926</v>
      </c>
      <c r="D822" s="34">
        <v>20957.55</v>
      </c>
      <c r="E822" s="34">
        <v>25149.06</v>
      </c>
      <c r="F822" s="1" t="s">
        <v>468</v>
      </c>
      <c r="G822" s="1" t="s">
        <v>3398</v>
      </c>
      <c r="H822" s="1" t="s">
        <v>1098</v>
      </c>
      <c r="I822" s="22" t="s">
        <v>1189</v>
      </c>
      <c r="J822" s="1" t="s">
        <v>5857</v>
      </c>
    </row>
    <row r="823" spans="1:10" x14ac:dyDescent="0.25">
      <c r="A823" s="1" t="s">
        <v>5901</v>
      </c>
      <c r="B823" s="1" t="s">
        <v>5906</v>
      </c>
      <c r="C823" s="2">
        <v>44926</v>
      </c>
      <c r="D823" s="34">
        <v>27168.37</v>
      </c>
      <c r="E823" s="34">
        <v>32602.04</v>
      </c>
      <c r="F823" s="1" t="s">
        <v>468</v>
      </c>
      <c r="G823" s="1" t="s">
        <v>3398</v>
      </c>
      <c r="H823" s="1" t="s">
        <v>1098</v>
      </c>
      <c r="I823" s="22" t="s">
        <v>1189</v>
      </c>
      <c r="J823" s="1" t="s">
        <v>5907</v>
      </c>
    </row>
    <row r="824" spans="1:10" x14ac:dyDescent="0.25">
      <c r="A824" s="1" t="s">
        <v>5908</v>
      </c>
      <c r="B824" s="1" t="s">
        <v>5915</v>
      </c>
      <c r="C824" s="2">
        <v>44926</v>
      </c>
      <c r="D824" s="34">
        <v>40.340000000000003</v>
      </c>
      <c r="E824" s="34">
        <v>48.41</v>
      </c>
      <c r="F824" s="1" t="s">
        <v>3920</v>
      </c>
      <c r="G824" s="1" t="s">
        <v>3921</v>
      </c>
      <c r="H824" s="1" t="s">
        <v>1198</v>
      </c>
      <c r="I824" s="22" t="s">
        <v>5916</v>
      </c>
      <c r="J824" s="1" t="s">
        <v>5917</v>
      </c>
    </row>
    <row r="825" spans="1:10" x14ac:dyDescent="0.25">
      <c r="A825" s="1" t="s">
        <v>5909</v>
      </c>
      <c r="B825" s="1" t="s">
        <v>5918</v>
      </c>
      <c r="C825" s="2">
        <v>44926</v>
      </c>
      <c r="D825" s="34">
        <v>300</v>
      </c>
      <c r="E825" s="34">
        <v>330</v>
      </c>
      <c r="F825" s="1" t="s">
        <v>4763</v>
      </c>
      <c r="G825" s="1" t="s">
        <v>4764</v>
      </c>
      <c r="H825" s="1" t="s">
        <v>4765</v>
      </c>
      <c r="I825" s="22" t="s">
        <v>4766</v>
      </c>
      <c r="J825" s="1" t="s">
        <v>5919</v>
      </c>
    </row>
    <row r="826" spans="1:10" x14ac:dyDescent="0.25">
      <c r="A826" s="1" t="s">
        <v>5910</v>
      </c>
      <c r="B826" s="1" t="s">
        <v>5920</v>
      </c>
      <c r="C826" s="2">
        <v>44926</v>
      </c>
      <c r="D826" s="34">
        <v>4481.28</v>
      </c>
      <c r="E826" s="34">
        <v>5377.54</v>
      </c>
      <c r="F826" s="1" t="s">
        <v>468</v>
      </c>
      <c r="G826" s="1" t="s">
        <v>3398</v>
      </c>
      <c r="H826" s="1" t="s">
        <v>1098</v>
      </c>
      <c r="I826" s="22" t="s">
        <v>1189</v>
      </c>
      <c r="J826" s="1" t="s">
        <v>5921</v>
      </c>
    </row>
    <row r="827" spans="1:10" x14ac:dyDescent="0.25">
      <c r="A827" s="1" t="s">
        <v>5911</v>
      </c>
      <c r="B827" s="1" t="s">
        <v>5922</v>
      </c>
      <c r="C827" s="2">
        <v>44926</v>
      </c>
      <c r="D827" s="34">
        <v>-611.17999999999995</v>
      </c>
      <c r="E827" s="34">
        <v>-733.42</v>
      </c>
      <c r="F827" s="1" t="s">
        <v>468</v>
      </c>
      <c r="G827" s="1" t="s">
        <v>3398</v>
      </c>
      <c r="H827" s="1" t="s">
        <v>1098</v>
      </c>
      <c r="I827" s="22" t="s">
        <v>1189</v>
      </c>
      <c r="J827" s="1" t="s">
        <v>4761</v>
      </c>
    </row>
    <row r="828" spans="1:10" x14ac:dyDescent="0.25">
      <c r="A828" s="1" t="s">
        <v>5912</v>
      </c>
      <c r="B828" s="1" t="s">
        <v>5923</v>
      </c>
      <c r="C828" s="2">
        <v>44926</v>
      </c>
      <c r="D828" s="34">
        <v>172.5</v>
      </c>
      <c r="E828" s="34">
        <v>207</v>
      </c>
      <c r="F828" s="1" t="s">
        <v>487</v>
      </c>
      <c r="G828" s="1" t="s">
        <v>3898</v>
      </c>
      <c r="H828" s="1" t="s">
        <v>1135</v>
      </c>
      <c r="I828" s="22" t="s">
        <v>5924</v>
      </c>
      <c r="J828" s="1" t="s">
        <v>5925</v>
      </c>
    </row>
    <row r="829" spans="1:10" x14ac:dyDescent="0.25">
      <c r="A829" s="1" t="s">
        <v>5913</v>
      </c>
      <c r="B829" s="1" t="s">
        <v>5926</v>
      </c>
      <c r="C829" s="2">
        <v>44926</v>
      </c>
      <c r="D829" s="34"/>
      <c r="E829" s="34">
        <v>24.84</v>
      </c>
      <c r="F829" s="1" t="s">
        <v>487</v>
      </c>
      <c r="G829" s="1" t="s">
        <v>3898</v>
      </c>
      <c r="H829" s="1" t="s">
        <v>1135</v>
      </c>
      <c r="I829" s="22" t="s">
        <v>5924</v>
      </c>
      <c r="J829" s="1" t="s">
        <v>5927</v>
      </c>
    </row>
    <row r="830" spans="1:10" x14ac:dyDescent="0.25">
      <c r="A830" s="1" t="s">
        <v>5914</v>
      </c>
      <c r="B830" s="1" t="s">
        <v>5928</v>
      </c>
      <c r="C830" s="2">
        <v>44926</v>
      </c>
      <c r="D830" s="34">
        <v>3083.33</v>
      </c>
      <c r="E830" s="34">
        <v>3700</v>
      </c>
      <c r="F830" s="1" t="s">
        <v>5167</v>
      </c>
      <c r="G830" s="14" t="s">
        <v>5168</v>
      </c>
      <c r="H830" s="1" t="s">
        <v>5169</v>
      </c>
      <c r="I830" s="22" t="s">
        <v>5929</v>
      </c>
      <c r="J830" s="1" t="s">
        <v>5930</v>
      </c>
    </row>
    <row r="831" spans="1:10" x14ac:dyDescent="0.25">
      <c r="A831" s="1" t="s">
        <v>5931</v>
      </c>
      <c r="B831" s="1" t="s">
        <v>5932</v>
      </c>
      <c r="C831" s="2">
        <v>44926</v>
      </c>
      <c r="D831" s="34">
        <v>-395.11</v>
      </c>
      <c r="E831" s="34">
        <v>-474.14</v>
      </c>
      <c r="F831" s="1" t="s">
        <v>4531</v>
      </c>
      <c r="G831" s="14" t="s">
        <v>4532</v>
      </c>
      <c r="H831" s="1" t="s">
        <v>1107</v>
      </c>
      <c r="I831" s="22" t="s">
        <v>3410</v>
      </c>
      <c r="J831" s="1" t="s">
        <v>2414</v>
      </c>
    </row>
    <row r="832" spans="1:10" x14ac:dyDescent="0.25">
      <c r="A832" s="1" t="s">
        <v>4391</v>
      </c>
      <c r="B832" s="1" t="s">
        <v>3355</v>
      </c>
      <c r="C832" s="2">
        <v>44596</v>
      </c>
      <c r="D832" s="6">
        <f>1700</f>
        <v>1700</v>
      </c>
      <c r="E832" s="6">
        <v>2040</v>
      </c>
      <c r="F832" s="1" t="s">
        <v>468</v>
      </c>
      <c r="G832" s="1" t="s">
        <v>3398</v>
      </c>
      <c r="H832" s="1" t="s">
        <v>1098</v>
      </c>
      <c r="I832" s="22" t="s">
        <v>1189</v>
      </c>
      <c r="J832" s="1" t="s">
        <v>3356</v>
      </c>
    </row>
    <row r="833" spans="1:10" x14ac:dyDescent="0.25">
      <c r="A833" s="1" t="s">
        <v>4392</v>
      </c>
      <c r="B833" s="1" t="s">
        <v>3358</v>
      </c>
      <c r="C833" s="2">
        <v>44599</v>
      </c>
      <c r="D833" s="6">
        <v>400</v>
      </c>
      <c r="E833" s="6">
        <v>400</v>
      </c>
      <c r="F833" s="1" t="s">
        <v>502</v>
      </c>
      <c r="G833" s="1" t="s">
        <v>3519</v>
      </c>
      <c r="H833" s="1" t="s">
        <v>1489</v>
      </c>
      <c r="I833" s="22" t="s">
        <v>3520</v>
      </c>
      <c r="J833" s="1" t="s">
        <v>3360</v>
      </c>
    </row>
    <row r="834" spans="1:10" x14ac:dyDescent="0.25">
      <c r="A834" s="1" t="s">
        <v>4393</v>
      </c>
      <c r="B834" s="1" t="s">
        <v>3359</v>
      </c>
      <c r="C834" s="2">
        <v>44622</v>
      </c>
      <c r="D834" s="6">
        <f>1700</f>
        <v>1700</v>
      </c>
      <c r="E834" s="6">
        <v>2040</v>
      </c>
      <c r="F834" s="1" t="s">
        <v>468</v>
      </c>
      <c r="G834" s="1" t="s">
        <v>3398</v>
      </c>
      <c r="H834" s="1" t="s">
        <v>1098</v>
      </c>
      <c r="I834" s="22" t="s">
        <v>1189</v>
      </c>
      <c r="J834" s="1" t="s">
        <v>3357</v>
      </c>
    </row>
    <row r="835" spans="1:10" x14ac:dyDescent="0.25">
      <c r="A835" s="1" t="s">
        <v>4394</v>
      </c>
      <c r="B835" s="1" t="s">
        <v>3358</v>
      </c>
      <c r="C835" s="2">
        <v>44629</v>
      </c>
      <c r="D835" s="6">
        <v>400</v>
      </c>
      <c r="E835" s="6">
        <v>400</v>
      </c>
      <c r="F835" s="1" t="s">
        <v>502</v>
      </c>
      <c r="G835" s="1" t="s">
        <v>3519</v>
      </c>
      <c r="H835" s="1" t="s">
        <v>1489</v>
      </c>
      <c r="I835" s="22" t="s">
        <v>3520</v>
      </c>
      <c r="J835" s="1" t="s">
        <v>3521</v>
      </c>
    </row>
    <row r="836" spans="1:10" x14ac:dyDescent="0.25">
      <c r="A836" s="1" t="s">
        <v>4395</v>
      </c>
      <c r="B836" s="1" t="s">
        <v>3522</v>
      </c>
      <c r="C836" s="2">
        <v>44658</v>
      </c>
      <c r="D836" s="6">
        <v>400</v>
      </c>
      <c r="E836" s="6">
        <v>400</v>
      </c>
      <c r="F836" s="1" t="s">
        <v>502</v>
      </c>
      <c r="G836" s="1" t="s">
        <v>3519</v>
      </c>
      <c r="H836" s="1" t="s">
        <v>1489</v>
      </c>
      <c r="I836" s="22" t="s">
        <v>3520</v>
      </c>
      <c r="J836" s="1" t="s">
        <v>3523</v>
      </c>
    </row>
    <row r="837" spans="1:10" x14ac:dyDescent="0.25">
      <c r="A837" s="1" t="s">
        <v>4396</v>
      </c>
      <c r="B837" s="1" t="s">
        <v>3524</v>
      </c>
      <c r="C837" s="2">
        <v>44655</v>
      </c>
      <c r="D837" s="6">
        <f>1700</f>
        <v>1700</v>
      </c>
      <c r="E837" s="6">
        <v>2040</v>
      </c>
      <c r="F837" s="1" t="s">
        <v>468</v>
      </c>
      <c r="G837" s="1" t="s">
        <v>3398</v>
      </c>
      <c r="H837" s="1" t="s">
        <v>1098</v>
      </c>
      <c r="I837" s="22" t="s">
        <v>1189</v>
      </c>
      <c r="J837" s="1" t="s">
        <v>3525</v>
      </c>
    </row>
    <row r="838" spans="1:10" x14ac:dyDescent="0.25">
      <c r="A838" s="1" t="s">
        <v>4397</v>
      </c>
      <c r="B838" s="1" t="s">
        <v>3709</v>
      </c>
      <c r="C838" s="2">
        <v>44683</v>
      </c>
      <c r="D838" s="6">
        <v>400</v>
      </c>
      <c r="E838" s="6">
        <v>400</v>
      </c>
      <c r="F838" s="3" t="s">
        <v>502</v>
      </c>
      <c r="G838" s="3" t="s">
        <v>3519</v>
      </c>
      <c r="H838" s="1" t="s">
        <v>1489</v>
      </c>
      <c r="I838" s="1" t="s">
        <v>3520</v>
      </c>
      <c r="J838" s="3" t="s">
        <v>3710</v>
      </c>
    </row>
    <row r="839" spans="1:10" x14ac:dyDescent="0.25">
      <c r="A839" s="1" t="s">
        <v>4398</v>
      </c>
      <c r="B839" s="1" t="s">
        <v>3711</v>
      </c>
      <c r="C839" s="2">
        <v>44700</v>
      </c>
      <c r="D839" s="6">
        <v>1700</v>
      </c>
      <c r="E839" s="6">
        <v>2040</v>
      </c>
      <c r="F839" s="3" t="s">
        <v>468</v>
      </c>
      <c r="G839" s="3" t="s">
        <v>3398</v>
      </c>
      <c r="H839" s="1" t="s">
        <v>1098</v>
      </c>
      <c r="I839" s="1" t="s">
        <v>1189</v>
      </c>
      <c r="J839" s="3" t="s">
        <v>3712</v>
      </c>
    </row>
    <row r="840" spans="1:10" x14ac:dyDescent="0.25">
      <c r="A840" s="1" t="s">
        <v>4399</v>
      </c>
      <c r="B840" s="1" t="s">
        <v>3713</v>
      </c>
      <c r="C840" s="2">
        <v>44712</v>
      </c>
      <c r="D840" s="6">
        <v>1700</v>
      </c>
      <c r="E840" s="6">
        <v>2040</v>
      </c>
      <c r="F840" s="3" t="s">
        <v>468</v>
      </c>
      <c r="G840" s="3" t="s">
        <v>3398</v>
      </c>
      <c r="H840" s="1" t="s">
        <v>1098</v>
      </c>
      <c r="I840" s="1" t="s">
        <v>1189</v>
      </c>
      <c r="J840" s="3" t="s">
        <v>3714</v>
      </c>
    </row>
    <row r="841" spans="1:10" x14ac:dyDescent="0.25">
      <c r="A841" s="1" t="s">
        <v>4431</v>
      </c>
      <c r="B841" s="1" t="s">
        <v>4432</v>
      </c>
      <c r="C841" s="2">
        <v>44750</v>
      </c>
      <c r="D841" s="6">
        <v>1700</v>
      </c>
      <c r="E841" s="6">
        <v>2040</v>
      </c>
      <c r="F841" s="3" t="s">
        <v>468</v>
      </c>
      <c r="G841" s="3" t="s">
        <v>3398</v>
      </c>
      <c r="H841" s="1" t="s">
        <v>1098</v>
      </c>
      <c r="I841" s="1" t="s">
        <v>1189</v>
      </c>
      <c r="J841" s="3" t="s">
        <v>4433</v>
      </c>
    </row>
    <row r="842" spans="1:10" x14ac:dyDescent="0.25">
      <c r="A842" s="1" t="s">
        <v>4429</v>
      </c>
      <c r="B842" s="1" t="s">
        <v>4424</v>
      </c>
      <c r="C842" s="2">
        <v>44774</v>
      </c>
      <c r="D842" s="6">
        <v>1700</v>
      </c>
      <c r="E842" s="6">
        <v>2040</v>
      </c>
      <c r="F842" s="3" t="s">
        <v>468</v>
      </c>
      <c r="G842" s="3" t="s">
        <v>3398</v>
      </c>
      <c r="H842" s="1" t="s">
        <v>1098</v>
      </c>
      <c r="I842" s="1" t="s">
        <v>1189</v>
      </c>
      <c r="J842" s="3" t="s">
        <v>4430</v>
      </c>
    </row>
    <row r="843" spans="1:10" x14ac:dyDescent="0.25">
      <c r="A843" s="1" t="s">
        <v>4740</v>
      </c>
      <c r="B843" s="1" t="s">
        <v>4741</v>
      </c>
      <c r="C843" s="2">
        <v>44809</v>
      </c>
      <c r="D843" s="6">
        <v>1700</v>
      </c>
      <c r="E843" s="6">
        <v>2040</v>
      </c>
      <c r="F843" s="3" t="s">
        <v>468</v>
      </c>
      <c r="G843" s="3" t="s">
        <v>3398</v>
      </c>
      <c r="H843" s="1" t="s">
        <v>1098</v>
      </c>
      <c r="I843" s="1" t="s">
        <v>1189</v>
      </c>
      <c r="J843" s="3" t="s">
        <v>4742</v>
      </c>
    </row>
    <row r="844" spans="1:10" x14ac:dyDescent="0.25">
      <c r="A844" s="1" t="s">
        <v>4844</v>
      </c>
      <c r="B844" s="1" t="s">
        <v>4845</v>
      </c>
      <c r="C844" s="2">
        <v>44837</v>
      </c>
      <c r="D844" s="6">
        <v>1700</v>
      </c>
      <c r="E844" s="6">
        <v>2040</v>
      </c>
      <c r="F844" s="3" t="s">
        <v>468</v>
      </c>
      <c r="G844" s="3" t="s">
        <v>3398</v>
      </c>
      <c r="H844" s="1" t="s">
        <v>1098</v>
      </c>
      <c r="I844" s="1" t="s">
        <v>1189</v>
      </c>
      <c r="J844" s="3" t="s">
        <v>4846</v>
      </c>
    </row>
    <row r="845" spans="1:10" x14ac:dyDescent="0.25">
      <c r="A845" s="1" t="s">
        <v>5071</v>
      </c>
      <c r="B845" s="1" t="s">
        <v>5072</v>
      </c>
      <c r="C845" s="2">
        <v>44847</v>
      </c>
      <c r="D845" s="6">
        <v>400</v>
      </c>
      <c r="E845" s="6">
        <v>400</v>
      </c>
      <c r="F845" s="3" t="s">
        <v>502</v>
      </c>
      <c r="G845" s="3" t="s">
        <v>3519</v>
      </c>
      <c r="H845" s="1" t="s">
        <v>1489</v>
      </c>
      <c r="I845" s="1" t="s">
        <v>3520</v>
      </c>
      <c r="J845" s="3" t="s">
        <v>5073</v>
      </c>
    </row>
    <row r="846" spans="1:10" x14ac:dyDescent="0.25">
      <c r="A846" s="1" t="s">
        <v>5147</v>
      </c>
      <c r="B846" s="1" t="s">
        <v>5149</v>
      </c>
      <c r="C846" s="2">
        <v>44868</v>
      </c>
      <c r="D846" s="6">
        <v>400</v>
      </c>
      <c r="E846" s="6">
        <v>400</v>
      </c>
      <c r="F846" s="3" t="s">
        <v>502</v>
      </c>
      <c r="G846" s="3" t="s">
        <v>3519</v>
      </c>
      <c r="H846" s="1" t="s">
        <v>1489</v>
      </c>
      <c r="I846" s="1" t="s">
        <v>3520</v>
      </c>
      <c r="J846" s="3" t="s">
        <v>5150</v>
      </c>
    </row>
    <row r="847" spans="1:10" x14ac:dyDescent="0.25">
      <c r="A847" s="1" t="s">
        <v>5148</v>
      </c>
      <c r="B847" s="1" t="s">
        <v>5151</v>
      </c>
      <c r="C847" s="2">
        <v>44869</v>
      </c>
      <c r="D847" s="6">
        <v>1700</v>
      </c>
      <c r="E847" s="6">
        <v>2040</v>
      </c>
      <c r="F847" s="3" t="s">
        <v>468</v>
      </c>
      <c r="G847" s="3" t="s">
        <v>3398</v>
      </c>
      <c r="H847" s="1" t="s">
        <v>1098</v>
      </c>
      <c r="I847" s="1" t="s">
        <v>1189</v>
      </c>
      <c r="J847" s="3" t="s">
        <v>5152</v>
      </c>
    </row>
    <row r="848" spans="1:10" x14ac:dyDescent="0.25">
      <c r="A848" s="1" t="s">
        <v>5419</v>
      </c>
      <c r="B848" s="1" t="s">
        <v>5444</v>
      </c>
      <c r="C848" s="2">
        <v>44896</v>
      </c>
      <c r="D848" s="6">
        <v>1700</v>
      </c>
      <c r="E848" s="6">
        <v>2040</v>
      </c>
      <c r="F848" s="3" t="s">
        <v>468</v>
      </c>
      <c r="G848" s="3" t="s">
        <v>5445</v>
      </c>
      <c r="H848" s="1" t="s">
        <v>1098</v>
      </c>
      <c r="I848" s="1" t="s">
        <v>1189</v>
      </c>
      <c r="J848" s="3" t="s">
        <v>5446</v>
      </c>
    </row>
    <row r="849" spans="1:10" x14ac:dyDescent="0.25">
      <c r="A849" s="1" t="s">
        <v>5564</v>
      </c>
      <c r="B849" s="1" t="s">
        <v>5565</v>
      </c>
      <c r="C849" s="2">
        <v>44902</v>
      </c>
      <c r="D849" s="6">
        <v>400</v>
      </c>
      <c r="E849" s="6">
        <v>400</v>
      </c>
      <c r="F849" s="3" t="s">
        <v>502</v>
      </c>
      <c r="G849" s="3" t="s">
        <v>3519</v>
      </c>
      <c r="H849" s="1" t="s">
        <v>1489</v>
      </c>
      <c r="I849" s="1" t="s">
        <v>3520</v>
      </c>
      <c r="J849" s="3" t="s">
        <v>5566</v>
      </c>
    </row>
    <row r="850" spans="1:10" x14ac:dyDescent="0.25">
      <c r="A850" s="1" t="s">
        <v>5789</v>
      </c>
      <c r="B850" s="1" t="s">
        <v>5791</v>
      </c>
      <c r="C850" s="2">
        <v>44925</v>
      </c>
      <c r="D850" s="6">
        <v>1700</v>
      </c>
      <c r="E850" s="6">
        <v>2040</v>
      </c>
      <c r="F850" s="3" t="s">
        <v>468</v>
      </c>
      <c r="G850" s="3" t="s">
        <v>5445</v>
      </c>
      <c r="H850" s="1" t="s">
        <v>1098</v>
      </c>
      <c r="I850" s="1" t="s">
        <v>1189</v>
      </c>
      <c r="J850" s="3" t="s">
        <v>5792</v>
      </c>
    </row>
    <row r="851" spans="1:10" x14ac:dyDescent="0.25">
      <c r="A851" s="1" t="s">
        <v>5790</v>
      </c>
      <c r="B851" s="1" t="s">
        <v>5793</v>
      </c>
      <c r="C851" s="2">
        <v>44926</v>
      </c>
      <c r="D851" s="6">
        <v>400</v>
      </c>
      <c r="E851" s="6">
        <v>400</v>
      </c>
      <c r="F851" s="3" t="s">
        <v>502</v>
      </c>
      <c r="G851" s="3" t="s">
        <v>3519</v>
      </c>
      <c r="H851" s="1" t="s">
        <v>1489</v>
      </c>
      <c r="I851" s="1" t="s">
        <v>3520</v>
      </c>
      <c r="J851" s="3" t="s">
        <v>5794</v>
      </c>
    </row>
    <row r="852" spans="1:10" x14ac:dyDescent="0.25">
      <c r="A852" s="1"/>
      <c r="B852" s="1"/>
      <c r="C852" s="2"/>
      <c r="D852" s="6"/>
      <c r="E852" s="6"/>
      <c r="F852" s="3"/>
      <c r="G852" s="3"/>
      <c r="H852" s="1"/>
      <c r="I852" s="1"/>
      <c r="J852" s="3"/>
    </row>
    <row r="853" spans="1:10" x14ac:dyDescent="0.25">
      <c r="A853" s="1"/>
      <c r="B853" s="1"/>
      <c r="C853" s="2"/>
      <c r="D853" s="6"/>
      <c r="E853" s="6"/>
      <c r="F853" s="3"/>
      <c r="G853" s="3"/>
      <c r="H853" s="1"/>
      <c r="I853" s="1"/>
      <c r="J853" s="3"/>
    </row>
    <row r="854" spans="1:10" x14ac:dyDescent="0.25">
      <c r="A854" s="1"/>
      <c r="B854" s="1"/>
      <c r="C854" s="2"/>
      <c r="D854" s="6"/>
      <c r="E854" s="6"/>
      <c r="F854" s="3"/>
      <c r="G854" s="3"/>
      <c r="H854" s="1"/>
      <c r="I854" s="1"/>
      <c r="J854" s="3"/>
    </row>
    <row r="855" spans="1:10" x14ac:dyDescent="0.25">
      <c r="A855" s="1"/>
      <c r="B855" s="1"/>
      <c r="C855" s="2"/>
      <c r="D855" s="6"/>
      <c r="E855" s="6"/>
      <c r="F855" s="3"/>
      <c r="G855" s="3"/>
      <c r="H855" s="1"/>
      <c r="I855" s="1"/>
      <c r="J855" s="3"/>
    </row>
    <row r="856" spans="1:10" x14ac:dyDescent="0.25">
      <c r="A856" s="1"/>
      <c r="B856" s="1"/>
      <c r="C856" s="2"/>
      <c r="D856" s="6"/>
      <c r="E856" s="6"/>
      <c r="F856" s="3"/>
      <c r="G856" s="3"/>
      <c r="H856" s="1"/>
      <c r="I856" s="1"/>
      <c r="J856" s="3"/>
    </row>
    <row r="857" spans="1:10" x14ac:dyDescent="0.25">
      <c r="A857" s="1"/>
      <c r="B857" s="1"/>
      <c r="C857" s="2"/>
      <c r="D857" s="6"/>
      <c r="E857" s="6"/>
      <c r="F857" s="3"/>
      <c r="G857" s="3"/>
      <c r="H857" s="1"/>
      <c r="I857" s="1"/>
      <c r="J857" s="3"/>
    </row>
    <row r="858" spans="1:10" x14ac:dyDescent="0.25">
      <c r="A858" s="1"/>
      <c r="B858" s="1"/>
      <c r="C858" s="2"/>
      <c r="D858" s="6"/>
      <c r="E858" s="6"/>
      <c r="F858" s="3"/>
      <c r="G858" s="3"/>
      <c r="H858" s="1"/>
      <c r="I858" s="1"/>
      <c r="J858" s="3"/>
    </row>
    <row r="859" spans="1:10" x14ac:dyDescent="0.25">
      <c r="A859" s="14"/>
      <c r="B859" s="14"/>
      <c r="C859" s="15"/>
      <c r="D859" s="16"/>
      <c r="E859" s="16"/>
      <c r="F859" s="17"/>
      <c r="G859" s="17"/>
      <c r="H859" s="14"/>
      <c r="I859" s="14"/>
      <c r="J859" s="17"/>
    </row>
    <row r="860" spans="1:10" x14ac:dyDescent="0.25">
      <c r="A860" s="14"/>
      <c r="B860" s="14"/>
      <c r="C860" s="15"/>
      <c r="D860" s="16"/>
      <c r="E860" s="16"/>
      <c r="F860" s="17"/>
      <c r="G860" s="17"/>
      <c r="H860" s="14"/>
      <c r="I860" s="14"/>
      <c r="J860" s="17"/>
    </row>
  </sheetData>
  <sheetProtection algorithmName="SHA-512" hashValue="C1FlEulTwbDEuvxLnd0mCq1h1RKZuAvN28qo9BudDSwPk7M8S8WEPgUnPqhw8RiFUBYTqZoDZVn1TWkyRDgvmA==" saltValue="sgF3a+OT0igPHHUKNUyMC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1" sqref="C11"/>
    </sheetView>
  </sheetViews>
  <sheetFormatPr defaultRowHeight="15" x14ac:dyDescent="0.25"/>
  <cols>
    <col min="1" max="1" width="9.140625" style="5"/>
    <col min="2" max="2" width="10.85546875" style="5" customWidth="1"/>
    <col min="3" max="3" width="9.140625" style="5"/>
    <col min="4" max="4" width="13.28515625" style="5" customWidth="1"/>
    <col min="5" max="16384" width="9.140625" style="5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4"/>
  <sheetViews>
    <sheetView workbookViewId="0">
      <selection activeCell="B4" sqref="B4"/>
    </sheetView>
  </sheetViews>
  <sheetFormatPr defaultRowHeight="15" x14ac:dyDescent="0.25"/>
  <cols>
    <col min="1" max="1" width="9.140625" style="18"/>
    <col min="2" max="2" width="12.7109375" style="19" customWidth="1"/>
    <col min="3" max="3" width="12.7109375" style="18" customWidth="1"/>
    <col min="4" max="4" width="12.5703125" style="19" customWidth="1"/>
    <col min="5" max="5" width="12.140625" style="20" customWidth="1"/>
    <col min="6" max="16384" width="9.140625" style="18"/>
  </cols>
  <sheetData>
    <row r="4" spans="2:5" x14ac:dyDescent="0.25">
      <c r="B4" s="19" t="e">
        <f>SUM(#REF!)-50</f>
        <v>#REF!</v>
      </c>
      <c r="C4" s="18" t="e">
        <f>B4*1.2</f>
        <v>#REF!</v>
      </c>
      <c r="D4" s="19" t="e">
        <f>SUM(#REF!)</f>
        <v>#REF!</v>
      </c>
      <c r="E4" s="20" t="e">
        <f>C4-D4</f>
        <v>#REF!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Zverej.FD final 2021</vt:lpstr>
      <vt:lpstr>Zverej.FD r.2022</vt:lpstr>
      <vt:lpstr>Hárok7</vt:lpstr>
      <vt:lpstr>Hárok8</vt:lpstr>
      <vt:lpstr>Hárok2</vt:lpstr>
      <vt:lpstr>Hárok3</vt:lpstr>
      <vt:lpstr>Hárok4</vt:lpstr>
      <vt:lpstr>Hárok5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Kistanová Andrea Ing.</cp:lastModifiedBy>
  <cp:lastPrinted>2021-12-15T13:47:49Z</cp:lastPrinted>
  <dcterms:created xsi:type="dcterms:W3CDTF">2021-07-13T08:41:07Z</dcterms:created>
  <dcterms:modified xsi:type="dcterms:W3CDTF">2023-01-30T07:16:27Z</dcterms:modified>
  <cp:contentStatus/>
</cp:coreProperties>
</file>